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60" windowWidth="22005" windowHeight="6525" tabRatio="879" firstSheet="7" activeTab="7"/>
  </bookViews>
  <sheets>
    <sheet name="employees_inf" sheetId="148" state="hidden" r:id="rId1"/>
    <sheet name="employees_formal" sheetId="149" state="hidden" r:id="rId2"/>
    <sheet name="sales_informal" sheetId="146" state="hidden" r:id="rId3"/>
    <sheet name="sales_formal" sheetId="147" state="hidden" r:id="rId4"/>
    <sheet name="Table 1" sheetId="37" state="hidden" r:id="rId5"/>
    <sheet name="Table 2" sheetId="126" state="hidden" r:id="rId6"/>
    <sheet name="Table 3" sheetId="129" state="hidden" r:id="rId7"/>
    <sheet name="ONLINE APPENDIX -- Tables" sheetId="127" r:id="rId8"/>
    <sheet name="Value added and employment" sheetId="142" r:id="rId9"/>
    <sheet name="Costs and Benefits Registering" sheetId="158" r:id="rId10"/>
    <sheet name="Regression for Figure 5" sheetId="160" r:id="rId11"/>
    <sheet name="ONLINE APPENDIX -- Data" sheetId="157" r:id="rId12"/>
    <sheet name="Data Table 1" sheetId="154" r:id="rId13"/>
    <sheet name="Data Table 3" sheetId="156" r:id="rId14"/>
    <sheet name="Data Figures 1 -3" sheetId="143" r:id="rId15"/>
    <sheet name="Data Figure 4" sheetId="140" r:id="rId16"/>
    <sheet name="Data Figure 5" sheetId="141" r:id="rId17"/>
    <sheet name="Data Figure 6" sheetId="134" r:id="rId18"/>
  </sheets>
  <definedNames>
    <definedName name="_xlnm.Print_Area" localSheetId="9">'Costs and Benefits Registering'!$A$1:$I$15</definedName>
    <definedName name="_xlnm.Print_Area" localSheetId="12">'Data Table 1'!$A$1:$I$187</definedName>
    <definedName name="_xlnm.Print_Area" localSheetId="7">'ONLINE APPENDIX -- Tables'!#REF!</definedName>
    <definedName name="_xlnm.Print_Area" localSheetId="4">'Table 1'!$A$189:$I$217</definedName>
    <definedName name="_xlnm.Print_Area" localSheetId="5">'Table 2'!$A$1:$Q$45</definedName>
    <definedName name="_xlnm.Print_Area" localSheetId="6">'Table 3'!$A$1:$E$242</definedName>
    <definedName name="_xlnm.Print_Area" localSheetId="8">'Value added and employment'!$A$1:$M$32</definedName>
    <definedName name="_xlnm.Print_Titles" localSheetId="12">'Data Table 1'!$1:$2</definedName>
    <definedName name="_xlnm.Print_Titles" localSheetId="4">'Table 1'!$1:$2</definedName>
    <definedName name="solver_typ" localSheetId="9" hidden="1">2</definedName>
    <definedName name="solver_typ" localSheetId="17">2</definedName>
    <definedName name="solver_typ" localSheetId="7" hidden="1">2</definedName>
    <definedName name="solver_typ" localSheetId="5" hidden="1">2</definedName>
    <definedName name="solver_ver" localSheetId="9" hidden="1">12</definedName>
    <definedName name="solver_ver" localSheetId="17">12</definedName>
    <definedName name="solver_ver" localSheetId="7" hidden="1">12</definedName>
    <definedName name="solver_ver" localSheetId="5" hidden="1">9</definedName>
    <definedName name="Z_BF4B7214_A780_4E29_8376_D0EF10A37853_.wvu.Cols" localSheetId="17" hidden="1">'Data Figure 6'!$A:$AA</definedName>
    <definedName name="Z_BF4B7214_A780_4E29_8376_D0EF10A37853_.wvu.Cols" localSheetId="12" hidden="1">'Data Table 1'!$F:$F,'Data Table 1'!$H:$H</definedName>
    <definedName name="Z_BF4B7214_A780_4E29_8376_D0EF10A37853_.wvu.Cols" localSheetId="4" hidden="1">'Table 1'!$F:$F,'Table 1'!$H:$H</definedName>
    <definedName name="Z_BF4B7214_A780_4E29_8376_D0EF10A37853_.wvu.Cols" localSheetId="5" hidden="1">'Table 2'!$B:$D,'Table 2'!$L:$Q</definedName>
    <definedName name="Z_BF4B7214_A780_4E29_8376_D0EF10A37853_.wvu.Cols" localSheetId="8" hidden="1">'Value added and employment'!$E:$F,'Value added and employment'!$I:$L</definedName>
    <definedName name="Z_BF4B7214_A780_4E29_8376_D0EF10A37853_.wvu.PrintArea" localSheetId="9" hidden="1">'Costs and Benefits Registering'!$A$1:$I$15</definedName>
    <definedName name="Z_BF4B7214_A780_4E29_8376_D0EF10A37853_.wvu.PrintArea" localSheetId="12" hidden="1">'Data Table 1'!$A$1:$I$187</definedName>
    <definedName name="Z_BF4B7214_A780_4E29_8376_D0EF10A37853_.wvu.PrintArea" localSheetId="7" hidden="1">'ONLINE APPENDIX -- Tables'!#REF!</definedName>
    <definedName name="Z_BF4B7214_A780_4E29_8376_D0EF10A37853_.wvu.PrintArea" localSheetId="4" hidden="1">'Table 1'!$A$189:$I$217</definedName>
    <definedName name="Z_BF4B7214_A780_4E29_8376_D0EF10A37853_.wvu.PrintArea" localSheetId="5" hidden="1">'Table 2'!$A$1:$Q$45</definedName>
    <definedName name="Z_BF4B7214_A780_4E29_8376_D0EF10A37853_.wvu.PrintArea" localSheetId="6" hidden="1">'Table 3'!$A$1:$E$242</definedName>
    <definedName name="Z_BF4B7214_A780_4E29_8376_D0EF10A37853_.wvu.PrintArea" localSheetId="8" hidden="1">'Value added and employment'!$A$1:$M$32</definedName>
    <definedName name="Z_BF4B7214_A780_4E29_8376_D0EF10A37853_.wvu.PrintTitles" localSheetId="12" hidden="1">'Data Table 1'!$1:$2</definedName>
    <definedName name="Z_BF4B7214_A780_4E29_8376_D0EF10A37853_.wvu.PrintTitles" localSheetId="4" hidden="1">'Table 1'!$1:$2</definedName>
    <definedName name="Z_BF4B7214_A780_4E29_8376_D0EF10A37853_.wvu.Rows" localSheetId="4" hidden="1">'Table 1'!$1:$188,'Table 1'!$202:$214</definedName>
    <definedName name="Z_BF4B7214_A780_4E29_8376_D0EF10A37853_.wvu.Rows" localSheetId="5" hidden="1">'Table 2'!$2:$2,'Table 2'!$22:$43</definedName>
    <definedName name="Z_BF4B7214_A780_4E29_8376_D0EF10A37853_.wvu.Rows" localSheetId="6" hidden="1">'Table 3'!$10:$234</definedName>
  </definedNames>
  <calcPr calcId="145621"/>
  <customWorkbookViews>
    <customWorkbookView name="Hidden" guid="{BF4B7214-A780-4E29-8376-D0EF10A37853}" maximized="1" windowWidth="1920" windowHeight="905" tabRatio="879" activeSheetId="159"/>
  </customWorkbookViews>
</workbook>
</file>

<file path=xl/calcChain.xml><?xml version="1.0" encoding="utf-8"?>
<calcChain xmlns="http://schemas.openxmlformats.org/spreadsheetml/2006/main">
  <c r="A3" i="157" l="1"/>
  <c r="A4" i="157" s="1"/>
  <c r="A5" i="157" s="1"/>
  <c r="A6" i="157" s="1"/>
  <c r="A7" i="157" s="1"/>
  <c r="A3" i="127"/>
  <c r="A4" i="127" s="1"/>
  <c r="B212" i="160"/>
  <c r="A212" i="160"/>
  <c r="B209" i="160"/>
  <c r="A209" i="160"/>
  <c r="B208" i="160"/>
  <c r="A208" i="160"/>
  <c r="B206" i="160"/>
  <c r="A206" i="160"/>
  <c r="B205" i="160"/>
  <c r="A205" i="160"/>
  <c r="B203" i="160"/>
  <c r="A203" i="160"/>
  <c r="B202" i="160"/>
  <c r="A202" i="160"/>
  <c r="B200" i="160"/>
  <c r="A200" i="160"/>
  <c r="B199" i="160"/>
  <c r="A199" i="160"/>
  <c r="B197" i="160"/>
  <c r="A197" i="160"/>
  <c r="B196" i="160"/>
  <c r="A196" i="160"/>
  <c r="B194" i="160"/>
  <c r="A194" i="160"/>
  <c r="B193" i="160"/>
  <c r="A193" i="160"/>
  <c r="B191" i="160"/>
  <c r="A191" i="160"/>
  <c r="B190" i="160"/>
  <c r="A190" i="160"/>
  <c r="B188" i="160"/>
  <c r="A188" i="160"/>
  <c r="B187" i="160"/>
  <c r="A187" i="160"/>
  <c r="B185" i="160"/>
  <c r="A185" i="160"/>
  <c r="B184" i="160"/>
  <c r="A184" i="160"/>
  <c r="B182" i="160"/>
  <c r="A182" i="160"/>
  <c r="B181" i="160"/>
  <c r="A181" i="160"/>
  <c r="B179" i="160"/>
  <c r="A179" i="160"/>
  <c r="B178" i="160"/>
  <c r="A178" i="160"/>
  <c r="B176" i="160"/>
  <c r="A176" i="160"/>
  <c r="B175" i="160"/>
  <c r="A175" i="160"/>
  <c r="B173" i="160"/>
  <c r="A173" i="160"/>
  <c r="B172" i="160"/>
  <c r="A172" i="160"/>
  <c r="B170" i="160"/>
  <c r="A170" i="160"/>
  <c r="B169" i="160"/>
  <c r="A169" i="160"/>
  <c r="B167" i="160"/>
  <c r="A167" i="160"/>
  <c r="B166" i="160"/>
  <c r="A166" i="160"/>
  <c r="B164" i="160"/>
  <c r="A164" i="160"/>
  <c r="B163" i="160"/>
  <c r="A163" i="160"/>
  <c r="B161" i="160"/>
  <c r="A161" i="160"/>
  <c r="B160" i="160"/>
  <c r="A160" i="160"/>
  <c r="B158" i="160"/>
  <c r="A158" i="160"/>
  <c r="B157" i="160"/>
  <c r="A157" i="160"/>
  <c r="B155" i="160"/>
  <c r="A155" i="160"/>
  <c r="B154" i="160"/>
  <c r="A154" i="160"/>
  <c r="B152" i="160"/>
  <c r="A152" i="160"/>
  <c r="B151" i="160"/>
  <c r="A151" i="160"/>
  <c r="B149" i="160"/>
  <c r="A149" i="160"/>
  <c r="B148" i="160"/>
  <c r="A148" i="160"/>
  <c r="B146" i="160"/>
  <c r="A146" i="160"/>
  <c r="B145" i="160"/>
  <c r="A145" i="160"/>
  <c r="B143" i="160"/>
  <c r="A143" i="160"/>
  <c r="B142" i="160"/>
  <c r="A142" i="160"/>
  <c r="B140" i="160"/>
  <c r="A140" i="160"/>
  <c r="B139" i="160"/>
  <c r="A139" i="160"/>
  <c r="B137" i="160"/>
  <c r="A137" i="160"/>
  <c r="B136" i="160"/>
  <c r="A136" i="160"/>
  <c r="B134" i="160"/>
  <c r="A134" i="160"/>
  <c r="B133" i="160"/>
  <c r="A133" i="160"/>
  <c r="B131" i="160"/>
  <c r="A131" i="160"/>
  <c r="B130" i="160"/>
  <c r="A130" i="160"/>
  <c r="B128" i="160"/>
  <c r="A128" i="160"/>
  <c r="B127" i="160"/>
  <c r="A127" i="160"/>
  <c r="B125" i="160"/>
  <c r="A125" i="160"/>
  <c r="B124" i="160"/>
  <c r="A124" i="160"/>
  <c r="B122" i="160"/>
  <c r="A122" i="160"/>
  <c r="B121" i="160"/>
  <c r="A121" i="160"/>
  <c r="B119" i="160"/>
  <c r="A119" i="160"/>
  <c r="B118" i="160"/>
  <c r="A118" i="160"/>
  <c r="B116" i="160"/>
  <c r="A116" i="160"/>
  <c r="B115" i="160"/>
  <c r="A115" i="160"/>
  <c r="B113" i="160"/>
  <c r="A113" i="160"/>
  <c r="B112" i="160"/>
  <c r="A112" i="160"/>
  <c r="B110" i="160"/>
  <c r="A110" i="160"/>
  <c r="B109" i="160"/>
  <c r="A109" i="160"/>
  <c r="B107" i="160"/>
  <c r="A107" i="160"/>
  <c r="B106" i="160"/>
  <c r="A106" i="160"/>
  <c r="B104" i="160"/>
  <c r="A104" i="160"/>
  <c r="B103" i="160"/>
  <c r="A103" i="160"/>
  <c r="B101" i="160"/>
  <c r="A101" i="160"/>
  <c r="B100" i="160"/>
  <c r="A100" i="160"/>
  <c r="B98" i="160"/>
  <c r="A98" i="160"/>
  <c r="B97" i="160"/>
  <c r="A97" i="160"/>
  <c r="B95" i="160"/>
  <c r="A95" i="160"/>
  <c r="B94" i="160"/>
  <c r="A94" i="160"/>
  <c r="B92" i="160"/>
  <c r="A92" i="160"/>
  <c r="B91" i="160"/>
  <c r="A91" i="160"/>
  <c r="B89" i="160"/>
  <c r="A89" i="160"/>
  <c r="B88" i="160"/>
  <c r="A88" i="160"/>
  <c r="B86" i="160"/>
  <c r="A86" i="160"/>
  <c r="B85" i="160"/>
  <c r="A85" i="160"/>
  <c r="B83" i="160"/>
  <c r="A83" i="160"/>
  <c r="B82" i="160"/>
  <c r="A82" i="160"/>
  <c r="B80" i="160"/>
  <c r="A80" i="160"/>
  <c r="B79" i="160"/>
  <c r="A79" i="160"/>
  <c r="B77" i="160"/>
  <c r="A77" i="160"/>
  <c r="B76" i="160"/>
  <c r="A76" i="160"/>
  <c r="B74" i="160"/>
  <c r="A74" i="160"/>
  <c r="B73" i="160"/>
  <c r="A73" i="160"/>
  <c r="B71" i="160"/>
  <c r="A71" i="160"/>
  <c r="B70" i="160"/>
  <c r="A70" i="160"/>
  <c r="B68" i="160"/>
  <c r="A68" i="160"/>
  <c r="B67" i="160"/>
  <c r="A67" i="160"/>
  <c r="B65" i="160"/>
  <c r="A65" i="160"/>
  <c r="B64" i="160"/>
  <c r="A64" i="160"/>
  <c r="B62" i="160"/>
  <c r="A62" i="160"/>
  <c r="B61" i="160"/>
  <c r="A61" i="160"/>
  <c r="B59" i="160"/>
  <c r="A59" i="160"/>
  <c r="B58" i="160"/>
  <c r="A58" i="160"/>
  <c r="B56" i="160"/>
  <c r="A56" i="160"/>
  <c r="B55" i="160"/>
  <c r="A55" i="160"/>
  <c r="B53" i="160"/>
  <c r="A53" i="160"/>
  <c r="B52" i="160"/>
  <c r="A52" i="160"/>
  <c r="B50" i="160"/>
  <c r="A50" i="160"/>
  <c r="B49" i="160"/>
  <c r="A49" i="160"/>
  <c r="B47" i="160"/>
  <c r="A47" i="160"/>
  <c r="B46" i="160"/>
  <c r="A46" i="160"/>
  <c r="B44" i="160"/>
  <c r="A44" i="160"/>
  <c r="B43" i="160"/>
  <c r="A43" i="160"/>
  <c r="B41" i="160"/>
  <c r="A41" i="160"/>
  <c r="B40" i="160"/>
  <c r="A40" i="160"/>
  <c r="B38" i="160"/>
  <c r="A38" i="160"/>
  <c r="B37" i="160"/>
  <c r="A37" i="160"/>
  <c r="B35" i="160"/>
  <c r="A35" i="160"/>
  <c r="B34" i="160"/>
  <c r="A34" i="160"/>
  <c r="B32" i="160"/>
  <c r="A32" i="160"/>
  <c r="B31" i="160"/>
  <c r="A31" i="160"/>
  <c r="B29" i="160"/>
  <c r="A29" i="160"/>
  <c r="B28" i="160"/>
  <c r="A28" i="160"/>
  <c r="B26" i="160"/>
  <c r="A26" i="160"/>
  <c r="B25" i="160"/>
  <c r="A25" i="160"/>
  <c r="B23" i="160"/>
  <c r="A23" i="160"/>
  <c r="B22" i="160"/>
  <c r="A22" i="160"/>
  <c r="B20" i="160"/>
  <c r="A20" i="160"/>
  <c r="B19" i="160"/>
  <c r="A19" i="160"/>
  <c r="B17" i="160"/>
  <c r="A17" i="160"/>
  <c r="B16" i="160"/>
  <c r="A16" i="160"/>
  <c r="B14" i="160"/>
  <c r="A14" i="160"/>
  <c r="B13" i="160"/>
  <c r="A13" i="160"/>
  <c r="B11" i="160"/>
  <c r="A11" i="160"/>
  <c r="B10" i="160"/>
  <c r="A10" i="160"/>
  <c r="B8" i="160"/>
  <c r="A8" i="160"/>
  <c r="B5" i="160"/>
  <c r="A5" i="160"/>
  <c r="I14" i="158" l="1"/>
  <c r="H14" i="158"/>
  <c r="G14" i="158"/>
  <c r="F14" i="158"/>
  <c r="E14" i="158"/>
  <c r="D14" i="158"/>
  <c r="C14" i="158"/>
  <c r="B14" i="158"/>
  <c r="I13" i="158"/>
  <c r="H13" i="158"/>
  <c r="G13" i="158"/>
  <c r="F13" i="158"/>
  <c r="E13" i="158"/>
  <c r="D13" i="158"/>
  <c r="C13" i="158"/>
  <c r="B13" i="158"/>
  <c r="I12" i="158"/>
  <c r="H12" i="158"/>
  <c r="G12" i="158"/>
  <c r="F12" i="158"/>
  <c r="E12" i="158"/>
  <c r="D12" i="158"/>
  <c r="C12" i="158"/>
  <c r="B12" i="158"/>
  <c r="I11" i="158"/>
  <c r="H11" i="158"/>
  <c r="G11" i="158"/>
  <c r="F11" i="158"/>
  <c r="E11" i="158"/>
  <c r="D11" i="158"/>
  <c r="C11" i="158"/>
  <c r="B11" i="158"/>
  <c r="I10" i="158"/>
  <c r="H10" i="158"/>
  <c r="G10" i="158"/>
  <c r="F10" i="158"/>
  <c r="E10" i="158"/>
  <c r="D10" i="158"/>
  <c r="C10" i="158"/>
  <c r="B10" i="158"/>
  <c r="I9" i="158"/>
  <c r="H9" i="158"/>
  <c r="G9" i="158"/>
  <c r="F9" i="158"/>
  <c r="E9" i="158"/>
  <c r="D9" i="158"/>
  <c r="C9" i="158"/>
  <c r="B9" i="158"/>
  <c r="I8" i="158"/>
  <c r="H8" i="158"/>
  <c r="G8" i="158"/>
  <c r="F8" i="158"/>
  <c r="E8" i="158"/>
  <c r="D8" i="158"/>
  <c r="C8" i="158"/>
  <c r="B8" i="158"/>
  <c r="I7" i="158"/>
  <c r="H7" i="158"/>
  <c r="G7" i="158"/>
  <c r="F7" i="158"/>
  <c r="E7" i="158"/>
  <c r="D7" i="158"/>
  <c r="C7" i="158"/>
  <c r="B7" i="158"/>
  <c r="I6" i="158"/>
  <c r="H6" i="158"/>
  <c r="G6" i="158"/>
  <c r="F6" i="158"/>
  <c r="E6" i="158"/>
  <c r="D6" i="158"/>
  <c r="C6" i="158"/>
  <c r="B6" i="158"/>
  <c r="I5" i="158"/>
  <c r="I15" i="158" s="1"/>
  <c r="H5" i="158"/>
  <c r="H15" i="158" s="1"/>
  <c r="G5" i="158"/>
  <c r="G15" i="158" s="1"/>
  <c r="F5" i="158"/>
  <c r="F15" i="158" s="1"/>
  <c r="E5" i="158"/>
  <c r="E15" i="158" s="1"/>
  <c r="D5" i="158"/>
  <c r="D15" i="158" s="1"/>
  <c r="C5" i="158"/>
  <c r="C15" i="158" s="1"/>
  <c r="B5" i="158"/>
  <c r="B15" i="158" s="1"/>
  <c r="C231" i="156" l="1"/>
  <c r="A227" i="129"/>
  <c r="A226" i="129"/>
  <c r="A224" i="129"/>
  <c r="A223" i="129"/>
  <c r="A221" i="129"/>
  <c r="A220" i="129"/>
  <c r="A218" i="129"/>
  <c r="A217" i="129"/>
  <c r="A215" i="129"/>
  <c r="A214" i="129"/>
  <c r="A212" i="129"/>
  <c r="A211" i="129"/>
  <c r="A209" i="129"/>
  <c r="A208" i="129"/>
  <c r="A206" i="129"/>
  <c r="A205" i="129"/>
  <c r="A203" i="129"/>
  <c r="A202" i="129"/>
  <c r="A200" i="129"/>
  <c r="A199" i="129"/>
  <c r="A197" i="129"/>
  <c r="A196" i="129"/>
  <c r="A194" i="129"/>
  <c r="A193" i="129"/>
  <c r="A191" i="129"/>
  <c r="A190" i="129"/>
  <c r="A188" i="129"/>
  <c r="A187" i="129"/>
  <c r="A185" i="129"/>
  <c r="A184" i="129"/>
  <c r="A182" i="129"/>
  <c r="A181" i="129"/>
  <c r="A179" i="129"/>
  <c r="A178" i="129"/>
  <c r="A176" i="129"/>
  <c r="A175" i="129"/>
  <c r="A173" i="129"/>
  <c r="A172" i="129"/>
  <c r="A170" i="129"/>
  <c r="A169" i="129"/>
  <c r="A167" i="129"/>
  <c r="A166" i="129"/>
  <c r="A164" i="129"/>
  <c r="A163" i="129"/>
  <c r="A161" i="129"/>
  <c r="A160" i="129"/>
  <c r="A158" i="129"/>
  <c r="A157" i="129"/>
  <c r="A155" i="129"/>
  <c r="A154" i="129"/>
  <c r="A152" i="129"/>
  <c r="A151" i="129"/>
  <c r="A149" i="129"/>
  <c r="A148" i="129"/>
  <c r="A146" i="129"/>
  <c r="A145" i="129"/>
  <c r="A143" i="129"/>
  <c r="A142" i="129"/>
  <c r="A140" i="129"/>
  <c r="A139" i="129"/>
  <c r="A137" i="129"/>
  <c r="A136" i="129"/>
  <c r="A134" i="129"/>
  <c r="A133" i="129"/>
  <c r="A131" i="129"/>
  <c r="A130" i="129"/>
  <c r="A128" i="129"/>
  <c r="A127" i="129"/>
  <c r="A125" i="129"/>
  <c r="A124" i="129"/>
  <c r="A122" i="129"/>
  <c r="A121" i="129"/>
  <c r="A119" i="129"/>
  <c r="A118" i="129"/>
  <c r="A116" i="129"/>
  <c r="A115" i="129"/>
  <c r="A113" i="129"/>
  <c r="A112" i="129"/>
  <c r="A110" i="129"/>
  <c r="A109" i="129"/>
  <c r="A107" i="129"/>
  <c r="A106" i="129"/>
  <c r="A104" i="129"/>
  <c r="A103" i="129"/>
  <c r="A101" i="129"/>
  <c r="A100" i="129"/>
  <c r="A98" i="129"/>
  <c r="A97" i="129"/>
  <c r="A95" i="129"/>
  <c r="A94" i="129"/>
  <c r="A92" i="129"/>
  <c r="A91" i="129"/>
  <c r="A89" i="129"/>
  <c r="A88" i="129"/>
  <c r="A86" i="129"/>
  <c r="A85" i="129"/>
  <c r="A83" i="129"/>
  <c r="A82" i="129"/>
  <c r="A80" i="129"/>
  <c r="A79" i="129"/>
  <c r="A77" i="129"/>
  <c r="A76" i="129"/>
  <c r="A74" i="129"/>
  <c r="A73" i="129"/>
  <c r="A71" i="129"/>
  <c r="A70" i="129"/>
  <c r="A68" i="129"/>
  <c r="A67" i="129"/>
  <c r="A65" i="129"/>
  <c r="A64" i="129"/>
  <c r="A62" i="129"/>
  <c r="A61" i="129"/>
  <c r="A59" i="129"/>
  <c r="A58" i="129"/>
  <c r="A56" i="129"/>
  <c r="A55" i="129"/>
  <c r="A53" i="129"/>
  <c r="A52" i="129"/>
  <c r="A50" i="129"/>
  <c r="A49" i="129"/>
  <c r="A47" i="129"/>
  <c r="A46" i="129"/>
  <c r="A44" i="129"/>
  <c r="A43" i="129"/>
  <c r="A41" i="129"/>
  <c r="A40" i="129"/>
  <c r="A38" i="129"/>
  <c r="A37" i="129"/>
  <c r="A35" i="129"/>
  <c r="A34" i="129"/>
  <c r="A32" i="129"/>
  <c r="A31" i="129"/>
  <c r="A29" i="129"/>
  <c r="A28" i="129"/>
  <c r="A26" i="129"/>
  <c r="A25" i="129"/>
  <c r="A23" i="129"/>
  <c r="A22" i="129"/>
  <c r="A20" i="129"/>
  <c r="A19" i="129"/>
  <c r="A17" i="129"/>
  <c r="A16" i="129"/>
  <c r="A14" i="129"/>
  <c r="A13" i="129"/>
  <c r="A11" i="129"/>
  <c r="A10" i="129"/>
  <c r="I43" i="126" l="1"/>
  <c r="H43" i="126"/>
  <c r="P43" i="126" s="1"/>
  <c r="G43" i="126"/>
  <c r="F43" i="126"/>
  <c r="E43" i="126"/>
  <c r="D43" i="126"/>
  <c r="L43" i="126" s="1"/>
  <c r="C43" i="126"/>
  <c r="I42" i="126"/>
  <c r="H42" i="126"/>
  <c r="P42" i="126" s="1"/>
  <c r="G42" i="126"/>
  <c r="F42" i="126"/>
  <c r="E42" i="126"/>
  <c r="D42" i="126"/>
  <c r="C42" i="126"/>
  <c r="I41" i="126"/>
  <c r="H41" i="126"/>
  <c r="G41" i="126"/>
  <c r="F41" i="126"/>
  <c r="N41" i="126" s="1"/>
  <c r="E41" i="126"/>
  <c r="D41" i="126"/>
  <c r="C41" i="126"/>
  <c r="I40" i="126"/>
  <c r="H40" i="126"/>
  <c r="G40" i="126"/>
  <c r="F40" i="126"/>
  <c r="E40" i="126"/>
  <c r="D40" i="126"/>
  <c r="L40" i="126" s="1"/>
  <c r="C40" i="126"/>
  <c r="I39" i="126"/>
  <c r="H39" i="126"/>
  <c r="G39" i="126"/>
  <c r="F39" i="126"/>
  <c r="E39" i="126"/>
  <c r="D39" i="126"/>
  <c r="C39" i="126"/>
  <c r="I38" i="126"/>
  <c r="H38" i="126"/>
  <c r="G38" i="126"/>
  <c r="F38" i="126"/>
  <c r="E38" i="126"/>
  <c r="J38" i="126" s="1"/>
  <c r="D38" i="126"/>
  <c r="C38" i="126"/>
  <c r="I37" i="126"/>
  <c r="H37" i="126"/>
  <c r="G37" i="126"/>
  <c r="F37" i="126"/>
  <c r="E37" i="126"/>
  <c r="J37" i="126" s="1"/>
  <c r="D37" i="126"/>
  <c r="C37" i="126"/>
  <c r="L37" i="126" s="1"/>
  <c r="I36" i="126"/>
  <c r="J36" i="126" s="1"/>
  <c r="H36" i="126"/>
  <c r="G36" i="126"/>
  <c r="F36" i="126"/>
  <c r="E36" i="126"/>
  <c r="D36" i="126"/>
  <c r="C36" i="126"/>
  <c r="I35" i="126"/>
  <c r="H35" i="126"/>
  <c r="P35" i="126" s="1"/>
  <c r="G35" i="126"/>
  <c r="F35" i="126"/>
  <c r="E35" i="126"/>
  <c r="D35" i="126"/>
  <c r="C35" i="126"/>
  <c r="I34" i="126"/>
  <c r="H34" i="126"/>
  <c r="G34" i="126"/>
  <c r="F34" i="126"/>
  <c r="N34" i="126" s="1"/>
  <c r="E34" i="126"/>
  <c r="J34" i="126" s="1"/>
  <c r="D34" i="126"/>
  <c r="C34" i="126"/>
  <c r="J33" i="126"/>
  <c r="I33" i="126"/>
  <c r="H33" i="126"/>
  <c r="G33" i="126"/>
  <c r="F33" i="126"/>
  <c r="E33" i="126"/>
  <c r="D33" i="126"/>
  <c r="C33" i="126"/>
  <c r="L33" i="126" s="1"/>
  <c r="J32" i="126"/>
  <c r="I32" i="126"/>
  <c r="H32" i="126"/>
  <c r="G32" i="126"/>
  <c r="F32" i="126"/>
  <c r="E32" i="126"/>
  <c r="D32" i="126"/>
  <c r="C32" i="126"/>
  <c r="I31" i="126"/>
  <c r="H31" i="126"/>
  <c r="G31" i="126"/>
  <c r="F31" i="126"/>
  <c r="N31" i="126" s="1"/>
  <c r="E31" i="126"/>
  <c r="D31" i="126"/>
  <c r="L31" i="126" s="1"/>
  <c r="C31" i="126"/>
  <c r="I30" i="126"/>
  <c r="H30" i="126"/>
  <c r="P30" i="126" s="1"/>
  <c r="G30" i="126"/>
  <c r="F30" i="126"/>
  <c r="E30" i="126"/>
  <c r="D30" i="126"/>
  <c r="L30" i="126" s="1"/>
  <c r="C30" i="126"/>
  <c r="I29" i="126"/>
  <c r="H29" i="126"/>
  <c r="P29" i="126" s="1"/>
  <c r="G29" i="126"/>
  <c r="F29" i="126"/>
  <c r="E29" i="126"/>
  <c r="D29" i="126"/>
  <c r="C29" i="126"/>
  <c r="I28" i="126"/>
  <c r="H28" i="126"/>
  <c r="G28" i="126"/>
  <c r="F28" i="126"/>
  <c r="E28" i="126"/>
  <c r="D28" i="126"/>
  <c r="C28" i="126"/>
  <c r="L28" i="126" s="1"/>
  <c r="I27" i="126"/>
  <c r="H27" i="126"/>
  <c r="G27" i="126"/>
  <c r="F27" i="126"/>
  <c r="E27" i="126"/>
  <c r="D27" i="126"/>
  <c r="C27" i="126"/>
  <c r="J32" i="142"/>
  <c r="I32" i="142"/>
  <c r="F32" i="142"/>
  <c r="E32" i="142"/>
  <c r="H31" i="142" a="1"/>
  <c r="H31" i="142" s="1"/>
  <c r="G31" i="142" a="1"/>
  <c r="G31" i="142" s="1"/>
  <c r="D31" i="142" a="1"/>
  <c r="D31" i="142" s="1"/>
  <c r="C31" i="142" a="1"/>
  <c r="C31" i="142" s="1"/>
  <c r="H30" i="142" a="1"/>
  <c r="H30" i="142" s="1"/>
  <c r="G30" i="142" a="1"/>
  <c r="G30" i="142" s="1"/>
  <c r="D30" i="142" a="1"/>
  <c r="D30" i="142" s="1"/>
  <c r="C30" i="142" a="1"/>
  <c r="C30" i="142" s="1"/>
  <c r="H29" i="142" a="1"/>
  <c r="H29" i="142" s="1"/>
  <c r="G29" i="142" a="1"/>
  <c r="G29" i="142" s="1"/>
  <c r="D29" i="142" a="1"/>
  <c r="D29" i="142" s="1"/>
  <c r="C29" i="142" a="1"/>
  <c r="C29" i="142" s="1"/>
  <c r="H28" i="142" a="1"/>
  <c r="H28" i="142" s="1"/>
  <c r="G28" i="142" a="1"/>
  <c r="G28" i="142" s="1"/>
  <c r="D28" i="142" a="1"/>
  <c r="D28" i="142" s="1"/>
  <c r="C28" i="142" a="1"/>
  <c r="C28" i="142" s="1"/>
  <c r="H27" i="142" a="1"/>
  <c r="H27" i="142" s="1"/>
  <c r="G27" i="142" a="1"/>
  <c r="G27" i="142" s="1"/>
  <c r="D27" i="142" a="1"/>
  <c r="D27" i="142" s="1"/>
  <c r="C27" i="142" a="1"/>
  <c r="C27" i="142" s="1"/>
  <c r="H26" i="142" a="1"/>
  <c r="H26" i="142" s="1"/>
  <c r="G26" i="142" a="1"/>
  <c r="G26" i="142" s="1"/>
  <c r="D26" i="142" a="1"/>
  <c r="D26" i="142" s="1"/>
  <c r="C26" i="142" a="1"/>
  <c r="C26" i="142" s="1"/>
  <c r="H25" i="142" a="1"/>
  <c r="H25" i="142" s="1"/>
  <c r="G25" i="142" a="1"/>
  <c r="G25" i="142" s="1"/>
  <c r="D25" i="142" a="1"/>
  <c r="D25" i="142" s="1"/>
  <c r="C25" i="142" a="1"/>
  <c r="C25" i="142" s="1"/>
  <c r="H24" i="142" a="1"/>
  <c r="H24" i="142" s="1"/>
  <c r="G24" i="142" a="1"/>
  <c r="G24" i="142" s="1"/>
  <c r="D24" i="142" a="1"/>
  <c r="D24" i="142" s="1"/>
  <c r="C24" i="142" a="1"/>
  <c r="C24" i="142" s="1"/>
  <c r="H23" i="142" a="1"/>
  <c r="H23" i="142" s="1"/>
  <c r="G23" i="142" a="1"/>
  <c r="G23" i="142" s="1"/>
  <c r="D23" i="142" a="1"/>
  <c r="D23" i="142" s="1"/>
  <c r="C23" i="142" a="1"/>
  <c r="C23" i="142" s="1"/>
  <c r="H22" i="142" a="1"/>
  <c r="H22" i="142" s="1"/>
  <c r="G22" i="142" a="1"/>
  <c r="G22" i="142" s="1"/>
  <c r="D22" i="142" a="1"/>
  <c r="D22" i="142" s="1"/>
  <c r="C22" i="142"/>
  <c r="C22" i="142" a="1"/>
  <c r="H21" i="142" a="1"/>
  <c r="H21" i="142" s="1"/>
  <c r="G21" i="142" a="1"/>
  <c r="G21" i="142" s="1"/>
  <c r="D21" i="142" a="1"/>
  <c r="D21" i="142" s="1"/>
  <c r="C21" i="142" a="1"/>
  <c r="C21" i="142" s="1"/>
  <c r="H20" i="142" a="1"/>
  <c r="H20" i="142" s="1"/>
  <c r="G20" i="142" a="1"/>
  <c r="G20" i="142" s="1"/>
  <c r="D20" i="142" a="1"/>
  <c r="D20" i="142" s="1"/>
  <c r="C20" i="142" a="1"/>
  <c r="C20" i="142" s="1"/>
  <c r="H19" i="142" a="1"/>
  <c r="H19" i="142" s="1"/>
  <c r="G19" i="142" a="1"/>
  <c r="G19" i="142" s="1"/>
  <c r="D19" i="142" a="1"/>
  <c r="D19" i="142" s="1"/>
  <c r="C19" i="142" a="1"/>
  <c r="C19" i="142" s="1"/>
  <c r="M19" i="142" s="1"/>
  <c r="H18" i="142" a="1"/>
  <c r="H18" i="142" s="1"/>
  <c r="G18" i="142" a="1"/>
  <c r="G18" i="142" s="1"/>
  <c r="D18" i="142" a="1"/>
  <c r="D18" i="142" s="1"/>
  <c r="C18" i="142" a="1"/>
  <c r="C18" i="142" s="1"/>
  <c r="M18" i="142" s="1"/>
  <c r="H17" i="142" a="1"/>
  <c r="H17" i="142" s="1"/>
  <c r="G17" i="142" a="1"/>
  <c r="G17" i="142" s="1"/>
  <c r="D17" i="142" a="1"/>
  <c r="D17" i="142" s="1"/>
  <c r="C17" i="142" a="1"/>
  <c r="C17" i="142" s="1"/>
  <c r="M17" i="142" s="1"/>
  <c r="H16" i="142" a="1"/>
  <c r="H16" i="142" s="1"/>
  <c r="G16" i="142" a="1"/>
  <c r="G16" i="142" s="1"/>
  <c r="D16" i="142" a="1"/>
  <c r="D16" i="142" s="1"/>
  <c r="C16" i="142" a="1"/>
  <c r="C16" i="142" s="1"/>
  <c r="M16" i="142" s="1"/>
  <c r="H15" i="142" a="1"/>
  <c r="H15" i="142" s="1"/>
  <c r="G15" i="142" a="1"/>
  <c r="G15" i="142" s="1"/>
  <c r="D15" i="142" a="1"/>
  <c r="D15" i="142" s="1"/>
  <c r="C15" i="142" a="1"/>
  <c r="C15" i="142" s="1"/>
  <c r="M15" i="142" s="1"/>
  <c r="H14" i="142" a="1"/>
  <c r="H14" i="142" s="1"/>
  <c r="G14" i="142" a="1"/>
  <c r="G14" i="142" s="1"/>
  <c r="D14" i="142" a="1"/>
  <c r="D14" i="142" s="1"/>
  <c r="C14" i="142" a="1"/>
  <c r="C14" i="142" s="1"/>
  <c r="M14" i="142" s="1"/>
  <c r="H13" i="142" a="1"/>
  <c r="H13" i="142" s="1"/>
  <c r="G13" i="142" a="1"/>
  <c r="G13" i="142" s="1"/>
  <c r="D13" i="142" a="1"/>
  <c r="D13" i="142" s="1"/>
  <c r="C13" i="142" a="1"/>
  <c r="C13" i="142" s="1"/>
  <c r="H12" i="142" a="1"/>
  <c r="H12" i="142" s="1"/>
  <c r="G12" i="142" a="1"/>
  <c r="G12" i="142" s="1"/>
  <c r="D12" i="142" a="1"/>
  <c r="D12" i="142" s="1"/>
  <c r="C12" i="142" a="1"/>
  <c r="C12" i="142" s="1"/>
  <c r="M12" i="142" s="1"/>
  <c r="H11" i="142" a="1"/>
  <c r="H11" i="142" s="1"/>
  <c r="G11" i="142" a="1"/>
  <c r="G11" i="142" s="1"/>
  <c r="D11" i="142" a="1"/>
  <c r="D11" i="142" s="1"/>
  <c r="C11" i="142" a="1"/>
  <c r="C11" i="142" s="1"/>
  <c r="M11" i="142" s="1"/>
  <c r="H10" i="142" a="1"/>
  <c r="H10" i="142" s="1"/>
  <c r="G10" i="142" a="1"/>
  <c r="G10" i="142" s="1"/>
  <c r="D10" i="142" a="1"/>
  <c r="D10" i="142" s="1"/>
  <c r="C10" i="142" a="1"/>
  <c r="C10" i="142" s="1"/>
  <c r="M10" i="142" s="1"/>
  <c r="H9" i="142" a="1"/>
  <c r="H9" i="142" s="1"/>
  <c r="G9" i="142" a="1"/>
  <c r="G9" i="142" s="1"/>
  <c r="D9" i="142" a="1"/>
  <c r="D9" i="142" s="1"/>
  <c r="C9" i="142" a="1"/>
  <c r="C9" i="142" s="1"/>
  <c r="M9" i="142" s="1"/>
  <c r="H8" i="142" a="1"/>
  <c r="H8" i="142" s="1"/>
  <c r="G8" i="142" a="1"/>
  <c r="G8" i="142" s="1"/>
  <c r="D8" i="142" a="1"/>
  <c r="D8" i="142" s="1"/>
  <c r="C8" i="142" a="1"/>
  <c r="C8" i="142" s="1"/>
  <c r="M8" i="142" s="1"/>
  <c r="H7" i="142" a="1"/>
  <c r="H7" i="142" s="1"/>
  <c r="G7" i="142" a="1"/>
  <c r="G7" i="142" s="1"/>
  <c r="D7" i="142" a="1"/>
  <c r="D7" i="142" s="1"/>
  <c r="C7" i="142" a="1"/>
  <c r="C7" i="142" s="1"/>
  <c r="M7" i="142" s="1"/>
  <c r="H6" i="142" a="1"/>
  <c r="H6" i="142" s="1"/>
  <c r="G6" i="142" a="1"/>
  <c r="G6" i="142" s="1"/>
  <c r="D6" i="142" a="1"/>
  <c r="D6" i="142" s="1"/>
  <c r="C6" i="142" a="1"/>
  <c r="C6" i="142" s="1"/>
  <c r="M6" i="142" s="1"/>
  <c r="H5" i="142" a="1"/>
  <c r="H5" i="142" s="1"/>
  <c r="G5" i="142" a="1"/>
  <c r="G5" i="142" s="1"/>
  <c r="D5" i="142" a="1"/>
  <c r="D5" i="142" s="1"/>
  <c r="C5" i="142" a="1"/>
  <c r="C5" i="142" s="1"/>
  <c r="I201" i="37"/>
  <c r="H201" i="37"/>
  <c r="G201" i="37"/>
  <c r="F201" i="37"/>
  <c r="E201" i="37"/>
  <c r="D201" i="37"/>
  <c r="C201" i="37"/>
  <c r="B201" i="37"/>
  <c r="I199" i="37"/>
  <c r="H199" i="37"/>
  <c r="G199" i="37"/>
  <c r="F199" i="37"/>
  <c r="E199" i="37"/>
  <c r="D199" i="37"/>
  <c r="C199" i="37"/>
  <c r="B199" i="37"/>
  <c r="AD15" i="134"/>
  <c r="AC15" i="134"/>
  <c r="AA15" i="134"/>
  <c r="Z15" i="134"/>
  <c r="AD14" i="134"/>
  <c r="AC14" i="134"/>
  <c r="AA14" i="134"/>
  <c r="Z14" i="134"/>
  <c r="AD13" i="134"/>
  <c r="AC13" i="134"/>
  <c r="AA13" i="134"/>
  <c r="Z13" i="134"/>
  <c r="AD12" i="134"/>
  <c r="AC12" i="134"/>
  <c r="AA12" i="134"/>
  <c r="Z12" i="134"/>
  <c r="AD11" i="134"/>
  <c r="AC11" i="134"/>
  <c r="AA11" i="134"/>
  <c r="Z11" i="134"/>
  <c r="AD10" i="134"/>
  <c r="AC10" i="134"/>
  <c r="AA10" i="134"/>
  <c r="Z10" i="134"/>
  <c r="AD9" i="134"/>
  <c r="AC9" i="134"/>
  <c r="AA9" i="134"/>
  <c r="Z9" i="134"/>
  <c r="AD8" i="134"/>
  <c r="AC8" i="134"/>
  <c r="AA8" i="134"/>
  <c r="Z8" i="134"/>
  <c r="AD7" i="134"/>
  <c r="AC7" i="134"/>
  <c r="AA7" i="134"/>
  <c r="Z7" i="134"/>
  <c r="AD6" i="134"/>
  <c r="AC6" i="134"/>
  <c r="AA6" i="134"/>
  <c r="Z6" i="134"/>
  <c r="AD5" i="134"/>
  <c r="AC5" i="134"/>
  <c r="AA5" i="134"/>
  <c r="Z5" i="134"/>
  <c r="AD4" i="134"/>
  <c r="AC4" i="134"/>
  <c r="AB4" i="134"/>
  <c r="AB5" i="134" s="1"/>
  <c r="AB6" i="134" s="1"/>
  <c r="AB7" i="134" s="1"/>
  <c r="AB8" i="134" s="1"/>
  <c r="AB9" i="134" s="1"/>
  <c r="AB10" i="134" s="1"/>
  <c r="AB11" i="134" s="1"/>
  <c r="AB12" i="134" s="1"/>
  <c r="AB13" i="134" s="1"/>
  <c r="AB14" i="134" s="1"/>
  <c r="AB15" i="134" s="1"/>
  <c r="AA4" i="134"/>
  <c r="Z4" i="134"/>
  <c r="AD3" i="134"/>
  <c r="AC3" i="134"/>
  <c r="AA3" i="134"/>
  <c r="Z3" i="134"/>
  <c r="M20" i="142" l="1"/>
  <c r="P31" i="126"/>
  <c r="N35" i="126"/>
  <c r="P36" i="126"/>
  <c r="N37" i="126"/>
  <c r="N38" i="126"/>
  <c r="J41" i="126"/>
  <c r="N42" i="126"/>
  <c r="J40" i="126"/>
  <c r="L42" i="126"/>
  <c r="L27" i="126"/>
  <c r="J29" i="126"/>
  <c r="N30" i="126"/>
  <c r="P33" i="126"/>
  <c r="P34" i="126"/>
  <c r="P39" i="126"/>
  <c r="P41" i="126"/>
  <c r="J30" i="126"/>
  <c r="J31" i="126"/>
  <c r="L32" i="126"/>
  <c r="L34" i="126"/>
  <c r="L35" i="126"/>
  <c r="N29" i="126"/>
  <c r="J35" i="126"/>
  <c r="L36" i="126"/>
  <c r="P37" i="126"/>
  <c r="L38" i="126"/>
  <c r="P38" i="126"/>
  <c r="L39" i="126"/>
  <c r="L41" i="126"/>
  <c r="L29" i="126"/>
  <c r="P32" i="126"/>
  <c r="N33" i="126"/>
  <c r="J39" i="126"/>
  <c r="N39" i="126"/>
  <c r="J42" i="126"/>
  <c r="J43" i="126"/>
  <c r="P40" i="126"/>
  <c r="N43" i="126"/>
  <c r="N32" i="126"/>
  <c r="N36" i="126"/>
  <c r="N40" i="126"/>
  <c r="D32" i="142"/>
  <c r="M22" i="142"/>
  <c r="M24" i="142"/>
  <c r="M26" i="142"/>
  <c r="M28" i="142"/>
  <c r="M30" i="142"/>
  <c r="G32" i="142"/>
  <c r="H32" i="142"/>
  <c r="M13" i="142"/>
  <c r="M21" i="142"/>
  <c r="M23" i="142"/>
  <c r="M25" i="142"/>
  <c r="M27" i="142"/>
  <c r="M29" i="142"/>
  <c r="M31" i="142"/>
  <c r="M5" i="142"/>
  <c r="M32" i="142" s="1"/>
  <c r="C32" i="142"/>
</calcChain>
</file>

<file path=xl/sharedStrings.xml><?xml version="1.0" encoding="utf-8"?>
<sst xmlns="http://schemas.openxmlformats.org/spreadsheetml/2006/main" count="9413" uniqueCount="2111">
  <si>
    <t>tax_evasion</t>
  </si>
  <si>
    <t>mgr_college</t>
  </si>
  <si>
    <t>country</t>
  </si>
  <si>
    <t>year</t>
  </si>
  <si>
    <t>Bangladesh</t>
  </si>
  <si>
    <t>Brazil</t>
  </si>
  <si>
    <t>Cape Verde</t>
  </si>
  <si>
    <t>Guatemala</t>
  </si>
  <si>
    <t>India</t>
  </si>
  <si>
    <t>Indonesia</t>
  </si>
  <si>
    <t>Kenya</t>
  </si>
  <si>
    <t>Niger</t>
  </si>
  <si>
    <t>Tanzania</t>
  </si>
  <si>
    <t>Uganda</t>
  </si>
  <si>
    <t>Angola</t>
  </si>
  <si>
    <t>Botswana</t>
  </si>
  <si>
    <t>Burundi</t>
  </si>
  <si>
    <t>Congo, Dem. Rep.</t>
  </si>
  <si>
    <t>Gambia, The</t>
  </si>
  <si>
    <t>Guinea</t>
  </si>
  <si>
    <t>Guinea-Bissau</t>
  </si>
  <si>
    <t>Mauritania</t>
  </si>
  <si>
    <t>Namibia</t>
  </si>
  <si>
    <t>Rwanda</t>
  </si>
  <si>
    <t>Swaziland</t>
  </si>
  <si>
    <t>Cambodia</t>
  </si>
  <si>
    <t>employees</t>
  </si>
  <si>
    <t>Yes</t>
  </si>
  <si>
    <t>.</t>
  </si>
  <si>
    <t>STATA Label</t>
  </si>
  <si>
    <t>All</t>
  </si>
  <si>
    <t/>
  </si>
  <si>
    <t>a</t>
  </si>
  <si>
    <t>Informal/Formal</t>
  </si>
  <si>
    <t>Formal</t>
  </si>
  <si>
    <t>Informal</t>
  </si>
  <si>
    <t>Sales</t>
  </si>
  <si>
    <t>Enterprise Survey</t>
  </si>
  <si>
    <t>Employees</t>
  </si>
  <si>
    <t>Country</t>
  </si>
  <si>
    <t>Informal Survey</t>
  </si>
  <si>
    <t>Big vs Small</t>
  </si>
  <si>
    <t>Average</t>
  </si>
  <si>
    <t>Year</t>
  </si>
  <si>
    <t>Micro Survey</t>
  </si>
  <si>
    <t>Observations</t>
  </si>
  <si>
    <t>Constant</t>
  </si>
  <si>
    <t>Registered</t>
  </si>
  <si>
    <t>Measure of Informality</t>
  </si>
  <si>
    <t>Ethiopia</t>
  </si>
  <si>
    <t>Malawi</t>
  </si>
  <si>
    <t>Sierra Leone</t>
  </si>
  <si>
    <t>Chad</t>
  </si>
  <si>
    <t>Mali</t>
  </si>
  <si>
    <t>Nepal</t>
  </si>
  <si>
    <t>Mozambique</t>
  </si>
  <si>
    <t>Madagascar</t>
  </si>
  <si>
    <t>Burkina Faso</t>
  </si>
  <si>
    <t>Central African Republic</t>
  </si>
  <si>
    <t>Togo</t>
  </si>
  <si>
    <t>Ghana</t>
  </si>
  <si>
    <t>Kyrgyz Republic</t>
  </si>
  <si>
    <t>Benin</t>
  </si>
  <si>
    <t>Zambia</t>
  </si>
  <si>
    <t>Lao PDR</t>
  </si>
  <si>
    <t>Moldova</t>
  </si>
  <si>
    <t>Nigeria</t>
  </si>
  <si>
    <t>Mongolia</t>
  </si>
  <si>
    <t>Vietnam</t>
  </si>
  <si>
    <t>Senegal</t>
  </si>
  <si>
    <t>Haiti</t>
  </si>
  <si>
    <t>Lesotho</t>
  </si>
  <si>
    <t>Yemen, Rep.</t>
  </si>
  <si>
    <t>Kiribati</t>
  </si>
  <si>
    <t>Pakistan</t>
  </si>
  <si>
    <t>Zimbabwe</t>
  </si>
  <si>
    <t>Uzbekistan</t>
  </si>
  <si>
    <t>Papua New Guinea</t>
  </si>
  <si>
    <t>Cameroon</t>
  </si>
  <si>
    <t>Georgia</t>
  </si>
  <si>
    <t>Ukraine</t>
  </si>
  <si>
    <t>Armenia</t>
  </si>
  <si>
    <t>Solomon Islands</t>
  </si>
  <si>
    <t>Azerbaijan</t>
  </si>
  <si>
    <t>Nicaragua</t>
  </si>
  <si>
    <t>Bhutan</t>
  </si>
  <si>
    <t>Sri Lanka</t>
  </si>
  <si>
    <t>Honduras</t>
  </si>
  <si>
    <t>Congo, Rep.</t>
  </si>
  <si>
    <t>Bolivia</t>
  </si>
  <si>
    <t>Philippines</t>
  </si>
  <si>
    <t>China</t>
  </si>
  <si>
    <t>Serbia and Montenegro</t>
  </si>
  <si>
    <t>Syrian Arab Republic</t>
  </si>
  <si>
    <t>Albania</t>
  </si>
  <si>
    <t>Morocco</t>
  </si>
  <si>
    <t>Vanuatu</t>
  </si>
  <si>
    <t>Bosnia and Herzegovina</t>
  </si>
  <si>
    <t>Samoa</t>
  </si>
  <si>
    <t>Belarus</t>
  </si>
  <si>
    <t>Paraguay</t>
  </si>
  <si>
    <t>Ecuador</t>
  </si>
  <si>
    <t>Kazakhstan</t>
  </si>
  <si>
    <t>Egypt</t>
  </si>
  <si>
    <t>Tonga</t>
  </si>
  <si>
    <t>Iran, Islamic Rep.</t>
  </si>
  <si>
    <t>Bulgaria</t>
  </si>
  <si>
    <t>Macedonia, FYR</t>
  </si>
  <si>
    <t>Jordan</t>
  </si>
  <si>
    <t>Algeria</t>
  </si>
  <si>
    <t>Romania</t>
  </si>
  <si>
    <t>Russia</t>
  </si>
  <si>
    <t>Micronesia, Fed. Sts.</t>
  </si>
  <si>
    <t>Tunisia</t>
  </si>
  <si>
    <t>Fiji</t>
  </si>
  <si>
    <t>Colombia</t>
  </si>
  <si>
    <t>Peru</t>
  </si>
  <si>
    <t>Thailand</t>
  </si>
  <si>
    <t>Marshall Islands</t>
  </si>
  <si>
    <t>Dominican Republic</t>
  </si>
  <si>
    <t>Maldives</t>
  </si>
  <si>
    <t>Turkey</t>
  </si>
  <si>
    <t>South Africa</t>
  </si>
  <si>
    <t>Jamaica</t>
  </si>
  <si>
    <t>Lithuania</t>
  </si>
  <si>
    <t>Latvia</t>
  </si>
  <si>
    <t>Mauritius</t>
  </si>
  <si>
    <t>Panama</t>
  </si>
  <si>
    <t>Malaysia</t>
  </si>
  <si>
    <t>Slovakia</t>
  </si>
  <si>
    <t>Costa Rica</t>
  </si>
  <si>
    <t>Croatia</t>
  </si>
  <si>
    <t>Poland</t>
  </si>
  <si>
    <t>Estonia</t>
  </si>
  <si>
    <t>Lebanon</t>
  </si>
  <si>
    <t>Hungary</t>
  </si>
  <si>
    <t>Venezuela</t>
  </si>
  <si>
    <t>Chile</t>
  </si>
  <si>
    <t>Mexico</t>
  </si>
  <si>
    <t>Czech Republic</t>
  </si>
  <si>
    <t>Uruguay</t>
  </si>
  <si>
    <t>Palau</t>
  </si>
  <si>
    <t>Argentina</t>
  </si>
  <si>
    <t>Oman</t>
  </si>
  <si>
    <t>Saudi Arabia</t>
  </si>
  <si>
    <t>Slovenia</t>
  </si>
  <si>
    <t>Portugal</t>
  </si>
  <si>
    <t>Greece</t>
  </si>
  <si>
    <t>Korea</t>
  </si>
  <si>
    <t>Cyprus</t>
  </si>
  <si>
    <t>New Zealand</t>
  </si>
  <si>
    <t>Spain</t>
  </si>
  <si>
    <t>Puerto Rico</t>
  </si>
  <si>
    <t>Israel</t>
  </si>
  <si>
    <t>Kuwait</t>
  </si>
  <si>
    <t>Italy</t>
  </si>
  <si>
    <t>Australia</t>
  </si>
  <si>
    <t>France</t>
  </si>
  <si>
    <t>Belgium</t>
  </si>
  <si>
    <t>United Arab Emirates</t>
  </si>
  <si>
    <t>Singapore</t>
  </si>
  <si>
    <t>Germany</t>
  </si>
  <si>
    <t>Canada</t>
  </si>
  <si>
    <t>Finland</t>
  </si>
  <si>
    <t>Netherlands</t>
  </si>
  <si>
    <t>Austria</t>
  </si>
  <si>
    <t>United Kingdom</t>
  </si>
  <si>
    <t>Ireland</t>
  </si>
  <si>
    <t>Hong Kong, China</t>
  </si>
  <si>
    <t>Sweden</t>
  </si>
  <si>
    <t>Taiwan</t>
  </si>
  <si>
    <t>Denmark</t>
  </si>
  <si>
    <t>Switzerland</t>
  </si>
  <si>
    <t>United States</t>
  </si>
  <si>
    <t>Japan</t>
  </si>
  <si>
    <t>Norway</t>
  </si>
  <si>
    <t>Guyana</t>
  </si>
  <si>
    <t>Suriname</t>
  </si>
  <si>
    <t>Malta</t>
  </si>
  <si>
    <t>Iceland</t>
  </si>
  <si>
    <t>Luxembourg</t>
  </si>
  <si>
    <t>% Self-employment</t>
  </si>
  <si>
    <t>% GDP Informal</t>
  </si>
  <si>
    <t>(World Economic Forum)</t>
  </si>
  <si>
    <t>"C:\Documents and Settings\Rafael.LaPorta\My Documents\InformalEconomy\Nick\size_informal\size03.do"</t>
  </si>
  <si>
    <t>Corruption</t>
  </si>
  <si>
    <t>corruption</t>
  </si>
  <si>
    <t>Unregistered</t>
  </si>
  <si>
    <t>Small</t>
  </si>
  <si>
    <t>Medium</t>
  </si>
  <si>
    <t>Big</t>
  </si>
  <si>
    <t>Registered vs Unregistered</t>
  </si>
  <si>
    <t>Differences</t>
  </si>
  <si>
    <t>Small vs Unregistered</t>
  </si>
  <si>
    <t>Enterprise vs Informal</t>
  </si>
  <si>
    <t>Enterprise vs Micro</t>
  </si>
  <si>
    <t>gdp_pc_usd</t>
  </si>
  <si>
    <t>inf_schneider</t>
  </si>
  <si>
    <t>inf_elec</t>
  </si>
  <si>
    <t>inf_wef</t>
  </si>
  <si>
    <t>self_emp_pct</t>
  </si>
  <si>
    <t>register_pop</t>
  </si>
  <si>
    <t>group</t>
  </si>
  <si>
    <t>% Tax Evasion</t>
  </si>
  <si>
    <t>(multiple indicators)</t>
  </si>
  <si>
    <t>(Enterprise survey)</t>
  </si>
  <si>
    <t>(electricity consumption)</t>
  </si>
  <si>
    <t>Djibouti</t>
  </si>
  <si>
    <t>West Bank and Gaza</t>
  </si>
  <si>
    <t>St. Vincent and the Grenadines</t>
  </si>
  <si>
    <t>Belize</t>
  </si>
  <si>
    <t>Dominica</t>
  </si>
  <si>
    <t>Grenada</t>
  </si>
  <si>
    <t>Gabon</t>
  </si>
  <si>
    <t>St. Lucia</t>
  </si>
  <si>
    <t>Seychelles</t>
  </si>
  <si>
    <t>St. Kitts and Nevis</t>
  </si>
  <si>
    <t>Antigua and Barbuda</t>
  </si>
  <si>
    <t>New Caledonia</t>
  </si>
  <si>
    <t>Bahamas, The</t>
  </si>
  <si>
    <t>Macao, China</t>
  </si>
  <si>
    <t>Aruba</t>
  </si>
  <si>
    <t>Isle of Man</t>
  </si>
  <si>
    <t>Qatar</t>
  </si>
  <si>
    <t>Barbados</t>
  </si>
  <si>
    <t>San Marino</t>
  </si>
  <si>
    <t>Cuba</t>
  </si>
  <si>
    <t>Netherlands Antilles</t>
  </si>
  <si>
    <t>gdp_pc_ppp</t>
  </si>
  <si>
    <t>Tajikistan</t>
  </si>
  <si>
    <t>Bahrain</t>
  </si>
  <si>
    <t>Timor-Leste</t>
  </si>
  <si>
    <t>Eritrea</t>
  </si>
  <si>
    <t>Montenegro</t>
  </si>
  <si>
    <t>Serbia</t>
  </si>
  <si>
    <t>Sample mean</t>
  </si>
  <si>
    <t>b</t>
  </si>
  <si>
    <t>c</t>
  </si>
  <si>
    <r>
      <t>Adjusted R</t>
    </r>
    <r>
      <rPr>
        <vertAlign val="superscript"/>
        <sz val="11"/>
        <color theme="1"/>
        <rFont val="Calibri"/>
        <family val="2"/>
        <scheme val="minor"/>
      </rPr>
      <t>2</t>
    </r>
  </si>
  <si>
    <t>El Salvador</t>
  </si>
  <si>
    <r>
      <t>-18.1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</si>
  <si>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-20.8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</si>
  <si>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-33.1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</si>
  <si>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-21.4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</si>
  <si>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-23.9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</si>
  <si>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38.7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</si>
  <si>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-19,919</t>
    </r>
    <r>
      <rPr>
        <vertAlign val="superscript"/>
        <sz val="11"/>
        <color theme="1"/>
        <rFont val="Calibri"/>
        <family val="2"/>
        <scheme val="minor"/>
      </rPr>
      <t>a</t>
    </r>
  </si>
  <si>
    <t>population (000s)</t>
  </si>
  <si>
    <t>Registered firms /</t>
  </si>
  <si>
    <t>GDP/Population</t>
  </si>
  <si>
    <t>Better access to markets</t>
  </si>
  <si>
    <t>Better access to financing</t>
  </si>
  <si>
    <t>Better access to raw materials</t>
  </si>
  <si>
    <t>% Self-employment non-agriculture</t>
  </si>
  <si>
    <t>non_agric_self</t>
  </si>
  <si>
    <t>Côte d'Ivoire</t>
  </si>
  <si>
    <t>Trinidad and Tobago</t>
  </si>
  <si>
    <r>
      <t>-44.8</t>
    </r>
    <r>
      <rPr>
        <vertAlign val="superscript"/>
        <sz val="11"/>
        <color theme="1"/>
        <rFont val="Calibri"/>
        <family val="2"/>
        <scheme val="minor"/>
      </rPr>
      <t>a</t>
    </r>
  </si>
  <si>
    <t>(0.0922)</t>
  </si>
  <si>
    <t>(0.1865)</t>
  </si>
  <si>
    <t>(0.1392)</t>
  </si>
  <si>
    <t>(0.1477)</t>
  </si>
  <si>
    <t>(0.1103)</t>
  </si>
  <si>
    <t>Russian Federation</t>
  </si>
  <si>
    <t>va</t>
  </si>
  <si>
    <t>Afghanistan</t>
  </si>
  <si>
    <t>ALB</t>
  </si>
  <si>
    <t>DZA</t>
  </si>
  <si>
    <t>American Samoa</t>
  </si>
  <si>
    <t>ASM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</si>
  <si>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</si>
  <si>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</si>
  <si>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</si>
  <si>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</si>
  <si>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</si>
  <si>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</si>
  <si>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</si>
  <si>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</si>
  <si>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</si>
  <si>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</si>
  <si>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</si>
  <si>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</si>
  <si>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</si>
  <si>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</si>
  <si>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</si>
  <si>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</si>
  <si>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</si>
  <si>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</si>
  <si>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</si>
  <si>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</si>
  <si>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</si>
  <si>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Brunei Darussalam</t>
  </si>
  <si>
    <t>BRN</t>
  </si>
  <si>
    <t>BGR</t>
  </si>
  <si>
    <t>BFA</t>
  </si>
  <si>
    <t>BDI</t>
  </si>
  <si>
    <t>KHM</t>
  </si>
  <si>
    <t>CMR</t>
  </si>
  <si>
    <t>CAN</t>
  </si>
  <si>
    <t>CPV</t>
  </si>
  <si>
    <t>Cayman Islands</t>
  </si>
  <si>
    <t>CYM</t>
  </si>
  <si>
    <t>TCD</t>
  </si>
  <si>
    <t>CHL</t>
  </si>
  <si>
    <t>CHN</t>
  </si>
  <si>
    <t>COL</t>
  </si>
  <si>
    <t>COG</t>
  </si>
  <si>
    <t>CRI</t>
  </si>
  <si>
    <t>Cote d'Ivoire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</si>
  <si>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</si>
  <si>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</si>
  <si>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</si>
  <si>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</si>
  <si>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</si>
  <si>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</si>
  <si>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</si>
  <si>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</si>
  <si>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</si>
  <si>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</si>
  <si>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Egypt, Arab Rep.</t>
  </si>
  <si>
    <t>EGY</t>
  </si>
  <si>
    <t>SLV</t>
  </si>
  <si>
    <t>Equatorial Guinea</t>
  </si>
  <si>
    <t>GNQ</t>
  </si>
  <si>
    <t>EST</t>
  </si>
  <si>
    <t>ETH</t>
  </si>
  <si>
    <t>FJI</t>
  </si>
  <si>
    <t>FIN</t>
  </si>
  <si>
    <t>FRA</t>
  </si>
  <si>
    <t>French Polynesia</t>
  </si>
  <si>
    <t>PYF</t>
  </si>
  <si>
    <t>GAB</t>
  </si>
  <si>
    <t>GEO</t>
  </si>
  <si>
    <t>DEU</t>
  </si>
  <si>
    <t>GHA</t>
  </si>
  <si>
    <t>GRC</t>
  </si>
  <si>
    <t>GRD</t>
  </si>
  <si>
    <t>Guam</t>
  </si>
  <si>
    <t>GUM</t>
  </si>
  <si>
    <t>GTM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</si>
  <si>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</si>
  <si>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</si>
  <si>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</si>
  <si>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</si>
  <si>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</si>
  <si>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</si>
  <si>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</si>
  <si>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</si>
  <si>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</si>
  <si>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IRL</t>
  </si>
  <si>
    <t>IMY</t>
  </si>
  <si>
    <t>ISR</t>
  </si>
  <si>
    <t>ITA</t>
  </si>
  <si>
    <t>JAM</t>
  </si>
  <si>
    <t>JPN</t>
  </si>
  <si>
    <t>JOR</t>
  </si>
  <si>
    <t>KAZ</t>
  </si>
  <si>
    <t>KEN</t>
  </si>
  <si>
    <t>Korea, Rep.</t>
  </si>
  <si>
    <t>KOR</t>
  </si>
  <si>
    <t>KWT</t>
  </si>
  <si>
    <t>KGZ</t>
  </si>
  <si>
    <t>LAO</t>
  </si>
  <si>
    <t>LVA</t>
  </si>
  <si>
    <t>LBN</t>
  </si>
  <si>
    <t>LSO</t>
  </si>
  <si>
    <t>Liberia</t>
  </si>
  <si>
    <t>LBR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</si>
  <si>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</si>
  <si>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</si>
  <si>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</si>
  <si>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</si>
  <si>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</si>
  <si>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</si>
  <si>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</si>
  <si>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</si>
  <si>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</si>
  <si>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</si>
  <si>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</si>
  <si>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</si>
  <si>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</si>
  <si>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</si>
  <si>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</si>
  <si>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</si>
  <si>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</si>
  <si>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</si>
  <si>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</si>
  <si>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</si>
  <si>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</si>
  <si>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NCL</t>
  </si>
  <si>
    <t>NZL</t>
  </si>
  <si>
    <t>NIC</t>
  </si>
  <si>
    <t>NER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</si>
  <si>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</si>
  <si>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</si>
  <si>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</si>
  <si>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</si>
  <si>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</si>
  <si>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</si>
  <si>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</si>
  <si>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</si>
  <si>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</si>
  <si>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</si>
  <si>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</si>
  <si>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ROM</t>
  </si>
  <si>
    <t>RUS</t>
  </si>
  <si>
    <t>RWA</t>
  </si>
  <si>
    <t>WSM</t>
  </si>
  <si>
    <t>SMR</t>
  </si>
  <si>
    <t>Sao Tome and Principe</t>
  </si>
  <si>
    <t>STP</t>
  </si>
  <si>
    <t>SAU</t>
  </si>
  <si>
    <t>SEN</t>
  </si>
  <si>
    <t>SRB</t>
  </si>
  <si>
    <t>SYC</t>
  </si>
  <si>
    <t>SLE</t>
  </si>
  <si>
    <t>SGP</t>
  </si>
  <si>
    <t>Slovak Republic</t>
  </si>
  <si>
    <t>SVK</t>
  </si>
  <si>
    <t>SVN</t>
  </si>
  <si>
    <t>ZAF</t>
  </si>
  <si>
    <t>ESP</t>
  </si>
  <si>
    <t>LKA</t>
  </si>
  <si>
    <t>LCA</t>
  </si>
  <si>
    <t>VCT</t>
  </si>
  <si>
    <t>SUR</t>
  </si>
  <si>
    <t>SWZ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</si>
  <si>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</si>
  <si>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</si>
  <si>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</si>
  <si>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</si>
  <si>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</si>
  <si>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</si>
  <si>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</si>
  <si>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</si>
  <si>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</si>
  <si>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</si>
  <si>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</si>
  <si>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</si>
  <si>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</si>
  <si>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</si>
  <si>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</si>
  <si>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</si>
  <si>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</si>
  <si>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VUT</t>
  </si>
  <si>
    <t>Venezuela, RB</t>
  </si>
  <si>
    <t>VEN</t>
  </si>
  <si>
    <t>VNM</t>
  </si>
  <si>
    <t>WBG</t>
  </si>
  <si>
    <t>YEM</t>
  </si>
  <si>
    <t>ZMB</t>
  </si>
  <si>
    <t>ZWE</t>
  </si>
  <si>
    <t>Panel B:  Micro Survey</t>
  </si>
  <si>
    <t>Kosovo</t>
  </si>
  <si>
    <t>Less bribes to pay</t>
  </si>
  <si>
    <t>Better opportunities with formal firms</t>
  </si>
  <si>
    <t>More access to government programs or services</t>
  </si>
  <si>
    <t>Better legal foundations on the property</t>
  </si>
  <si>
    <t>Better access to infrastructure service</t>
  </si>
  <si>
    <t>Angola 2010</t>
  </si>
  <si>
    <t>AGO2010</t>
  </si>
  <si>
    <t>Burkina Faso 2009</t>
  </si>
  <si>
    <t>BFA2009</t>
  </si>
  <si>
    <t>Botswana 2010</t>
  </si>
  <si>
    <t>BTW2010</t>
  </si>
  <si>
    <t>Cameroon 2009</t>
  </si>
  <si>
    <t>CMR2009</t>
  </si>
  <si>
    <t>Congo, Dem Rep 2010</t>
  </si>
  <si>
    <t>COD2010</t>
  </si>
  <si>
    <t>Capo Verde 2009</t>
  </si>
  <si>
    <t>CPV2009</t>
  </si>
  <si>
    <t>Mauritius 2009</t>
  </si>
  <si>
    <t>MAU2009</t>
  </si>
  <si>
    <t>Madagascar 2009</t>
  </si>
  <si>
    <t>MGD2009</t>
  </si>
  <si>
    <t>Mali 2010</t>
  </si>
  <si>
    <t>MLI2010</t>
  </si>
  <si>
    <t>Nepal 2009</t>
  </si>
  <si>
    <t>NPL2009</t>
  </si>
  <si>
    <t>telecom</t>
  </si>
  <si>
    <t>electricity</t>
  </si>
  <si>
    <t>transport</t>
  </si>
  <si>
    <t>access_land</t>
  </si>
  <si>
    <t>tax_rates</t>
  </si>
  <si>
    <t>tax_adm</t>
  </si>
  <si>
    <t>customs</t>
  </si>
  <si>
    <t>courts</t>
  </si>
  <si>
    <t>labor_reg</t>
  </si>
  <si>
    <t>workforce</t>
  </si>
  <si>
    <t>licensing</t>
  </si>
  <si>
    <t>access_fin</t>
  </si>
  <si>
    <t>instability</t>
  </si>
  <si>
    <t>macro</t>
  </si>
  <si>
    <t>crime</t>
  </si>
  <si>
    <t>informals</t>
  </si>
  <si>
    <t>Obstacles (% of firms identifying an obstacle as the most important)</t>
  </si>
  <si>
    <t>Macro Instability</t>
  </si>
  <si>
    <t>Telecommunications</t>
  </si>
  <si>
    <t>Electricity</t>
  </si>
  <si>
    <t>Access to Financing</t>
  </si>
  <si>
    <t>Tax Rates</t>
  </si>
  <si>
    <t>Practices of competitors in the informal economy</t>
  </si>
  <si>
    <t>Uneducated Workforce</t>
  </si>
  <si>
    <t>Political instability</t>
  </si>
  <si>
    <t>Customs and Trade Regulations</t>
  </si>
  <si>
    <t>Transportation</t>
  </si>
  <si>
    <t>Crime</t>
  </si>
  <si>
    <t>Tax Administration</t>
  </si>
  <si>
    <t>Legal System</t>
  </si>
  <si>
    <t>Business licensing and permits</t>
  </si>
  <si>
    <t>Labor Regulations</t>
  </si>
  <si>
    <t>Access to Land</t>
  </si>
  <si>
    <t>Income quartile</t>
  </si>
  <si>
    <t>Bottom</t>
  </si>
  <si>
    <t>Second</t>
  </si>
  <si>
    <t>Third</t>
  </si>
  <si>
    <t>Top</t>
  </si>
  <si>
    <r>
      <t>Difference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vs. 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quartile</t>
    </r>
  </si>
  <si>
    <t>Table 1.  Size of the Informal Economy by Alternative Measures</t>
  </si>
  <si>
    <t>Percent except where stated otherwise</t>
  </si>
  <si>
    <t>(0.1357)</t>
  </si>
  <si>
    <t>(0.1671)</t>
  </si>
  <si>
    <t>(0.1707)</t>
  </si>
  <si>
    <t>(0.1712)</t>
  </si>
  <si>
    <t>(0.1315)</t>
  </si>
  <si>
    <t>(0.1323)</t>
  </si>
  <si>
    <t>(0.2270)</t>
  </si>
  <si>
    <t>(0.1489)</t>
  </si>
  <si>
    <t>(0.1499)</t>
  </si>
  <si>
    <t>Dependent Variable:</t>
  </si>
  <si>
    <t>Ln(Establishments/Population)</t>
  </si>
  <si>
    <t>Ln(Employees/Establishments)</t>
  </si>
  <si>
    <t>Ln(Employees/Population)</t>
  </si>
  <si>
    <t>Ln(Employees Big Firms/Employees)</t>
  </si>
  <si>
    <t>Years of Education in the Region</t>
  </si>
  <si>
    <t>(0.1319)</t>
  </si>
  <si>
    <t>(0.2178)</t>
  </si>
  <si>
    <t>(0.1518)</t>
  </si>
  <si>
    <t>(0.2399)</t>
  </si>
  <si>
    <t>(0.1611)</t>
  </si>
  <si>
    <t>(0.1663)</t>
  </si>
  <si>
    <t>(0.2278)</t>
  </si>
  <si>
    <t>(0.2372)</t>
  </si>
  <si>
    <t>(0.1484)</t>
  </si>
  <si>
    <t>(0.1460)</t>
  </si>
  <si>
    <t>(0.1512)</t>
  </si>
  <si>
    <t>(0.1641)</t>
  </si>
  <si>
    <t>(0.4237)</t>
  </si>
  <si>
    <t>(0.1867)</t>
  </si>
  <si>
    <t>(0.1458)</t>
  </si>
  <si>
    <t>(0.1792)</t>
  </si>
  <si>
    <t>(0.1459)</t>
  </si>
  <si>
    <t>(0.1303)</t>
  </si>
  <si>
    <r>
      <t>0.4943</t>
    </r>
    <r>
      <rPr>
        <vertAlign val="superscript"/>
        <sz val="11"/>
        <color theme="1"/>
        <rFont val="Calibri"/>
        <family val="2"/>
        <scheme val="minor"/>
      </rPr>
      <t>a</t>
    </r>
  </si>
  <si>
    <t>(0.1566)</t>
  </si>
  <si>
    <t>Code==USA</t>
  </si>
  <si>
    <t>Code==VNM</t>
  </si>
  <si>
    <t>(0.2018)</t>
  </si>
  <si>
    <t>(0.1289)</t>
  </si>
  <si>
    <t>(0.1347)</t>
  </si>
  <si>
    <t>(0.1396)</t>
  </si>
  <si>
    <t>(0.1398)</t>
  </si>
  <si>
    <t>Country Fixed Effects</t>
  </si>
  <si>
    <r>
      <t xml:space="preserve">Note:  </t>
    </r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 xml:space="preserve"> significant at the 1% level, </t>
    </r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 xml:space="preserve"> significant at the 5% level, and </t>
    </r>
    <r>
      <rPr>
        <vertAlign val="superscript"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 xml:space="preserve"> significant at the 10% level. </t>
    </r>
  </si>
  <si>
    <t>Percentage of Informal Survey respondents rating the following as either the most important or second most important benefit that their firm could obtain from registering</t>
  </si>
  <si>
    <t>selfemp</t>
  </si>
  <si>
    <t>employee</t>
  </si>
  <si>
    <t>employer</t>
  </si>
  <si>
    <t>fsize_sml</t>
  </si>
  <si>
    <t>fsize_med</t>
  </si>
  <si>
    <t>fsize_lrg</t>
  </si>
  <si>
    <t>fsize_num</t>
  </si>
  <si>
    <t>frml_registr</t>
  </si>
  <si>
    <t>frml_account</t>
  </si>
  <si>
    <t>frml_pension</t>
  </si>
  <si>
    <t>inc</t>
  </si>
  <si>
    <t>inc_emplr</t>
  </si>
  <si>
    <t>inc_empee</t>
  </si>
  <si>
    <t>inc_selfemp</t>
  </si>
  <si>
    <t>gdppc_const05usd</t>
  </si>
  <si>
    <t>Self-employed</t>
  </si>
  <si>
    <t>Employers</t>
  </si>
  <si>
    <t>Small firms [1-99 employees]</t>
  </si>
  <si>
    <t>Medium firms [100-499 employees]</t>
  </si>
  <si>
    <t>Large firms [500+ employees]</t>
  </si>
  <si>
    <t>Average firm size</t>
  </si>
  <si>
    <t>Working population in formally registered firms or self-employment</t>
  </si>
  <si>
    <t>Working population in firms or self-employment with formal accounting</t>
  </si>
  <si>
    <t>Working population affiliated with pension system</t>
  </si>
  <si>
    <t>Total annual income</t>
  </si>
  <si>
    <t>Total annual income, employers</t>
  </si>
  <si>
    <t>Total annual income, employees</t>
  </si>
  <si>
    <t>Total annual income, self-employed</t>
  </si>
  <si>
    <t>GDP per capita, PPP (constant 2005 international $)</t>
  </si>
  <si>
    <t>Foreign direct investment, net inflows (% of GDP)</t>
  </si>
  <si>
    <t>Agriculture, value added (% of GDP)</t>
  </si>
  <si>
    <t>Industry, value added (% of GDP)</t>
  </si>
  <si>
    <t>Services, etc., value added (% of GDP)</t>
  </si>
  <si>
    <t>Total natural resources rents (% of GDP)</t>
  </si>
  <si>
    <t>Manufacturing, value added (% of GDP)</t>
  </si>
  <si>
    <t>GDP in current PEN</t>
  </si>
  <si>
    <t>GDP in constant 2005 USD</t>
  </si>
  <si>
    <t>exchange: 2005 USD / current LCU</t>
  </si>
  <si>
    <t>GDP per capita</t>
  </si>
  <si>
    <t>E:\Documents\Dropbox\InformalEconomy\Informality_2013\Peru\Peru_informality_timeseries9810_formatted_11182013.xls</t>
  </si>
  <si>
    <t>Employment</t>
  </si>
  <si>
    <t>% Top Manager College</t>
  </si>
  <si>
    <t>sl</t>
  </si>
  <si>
    <t>CountryName</t>
  </si>
  <si>
    <t>CountryCode</t>
  </si>
  <si>
    <t>Hong Kong SAR, China</t>
  </si>
  <si>
    <t>KSV</t>
  </si>
  <si>
    <t>Macao SAR, China</t>
  </si>
  <si>
    <t>Turks and Caicos Islands</t>
  </si>
  <si>
    <t>TCA</t>
  </si>
  <si>
    <t>Tuvalu</t>
  </si>
  <si>
    <t>TUV</t>
  </si>
  <si>
    <t>self employment</t>
  </si>
  <si>
    <t>gdp per capita (ny_gdp_pcap_pp_kd)</t>
  </si>
  <si>
    <r>
      <rPr>
        <sz val="11"/>
        <color theme="1"/>
        <rFont val="Calibri"/>
        <family val="2"/>
      </rPr>
      <t xml:space="preserve">Δ </t>
    </r>
    <r>
      <rPr>
        <sz val="11"/>
        <color theme="1"/>
        <rFont val="Calibri"/>
        <family val="2"/>
        <scheme val="minor"/>
      </rPr>
      <t>self employment</t>
    </r>
  </si>
  <si>
    <t xml:space="preserve">Growth gdp per capita </t>
  </si>
  <si>
    <t xml:space="preserve">The table reports fixed effect regressions for for the following three dependent variables: (1) logarithm of the number of employees per establishment; (3) logarithm of the number of employees per capita; and (4) logarithm of the number of employees working in firms that employ at least 100 employees as a percent of total employment.   All regressions include the number of years of education.  </t>
  </si>
  <si>
    <t>(0.0311)</t>
  </si>
  <si>
    <t>(0.0263)</t>
  </si>
  <si>
    <t>(0.0349)</t>
  </si>
  <si>
    <t>(0.1703)</t>
  </si>
  <si>
    <t>(0.1486)</t>
  </si>
  <si>
    <t>(0.1604)</t>
  </si>
  <si>
    <t>(0.1594)</t>
  </si>
  <si>
    <t>(0.1514)</t>
  </si>
  <si>
    <t>(0.1429)</t>
  </si>
  <si>
    <t>(0.3154)</t>
  </si>
  <si>
    <t>(0.2039)</t>
  </si>
  <si>
    <t>(0.3943)</t>
  </si>
  <si>
    <t>-0.1159</t>
  </si>
  <si>
    <t>(0.1677)</t>
  </si>
  <si>
    <t>(0.1400)</t>
  </si>
  <si>
    <t>(0.1379)</t>
  </si>
  <si>
    <t>(0.1283)</t>
  </si>
  <si>
    <t>(0.0773)</t>
  </si>
  <si>
    <t>(0.1073)</t>
  </si>
  <si>
    <t>0.0042</t>
  </si>
  <si>
    <t>(0.1602)</t>
  </si>
  <si>
    <t>(0.1488)</t>
  </si>
  <si>
    <t>(0.2002)</t>
  </si>
  <si>
    <t>-0.1788</t>
  </si>
  <si>
    <t>(0.1949)</t>
  </si>
  <si>
    <t>(0.1490)</t>
  </si>
  <si>
    <t>(0.1660)</t>
  </si>
  <si>
    <t>(0.1340)</t>
  </si>
  <si>
    <t>(0.0958)</t>
  </si>
  <si>
    <t>(0.2282)</t>
  </si>
  <si>
    <t>(0.2194)</t>
  </si>
  <si>
    <t>(0.3807)</t>
  </si>
  <si>
    <t>(0.4682)</t>
  </si>
  <si>
    <t>-0.0205</t>
  </si>
  <si>
    <t>(0.1321)</t>
  </si>
  <si>
    <t>(0.0985)</t>
  </si>
  <si>
    <t>(0.2354)</t>
  </si>
  <si>
    <t>(0.1846)</t>
  </si>
  <si>
    <t>(0.1537)</t>
  </si>
  <si>
    <t>(0.1680)</t>
  </si>
  <si>
    <t>(1.4983)</t>
  </si>
  <si>
    <t>(0.2355)</t>
  </si>
  <si>
    <t>(0.2626)</t>
  </si>
  <si>
    <t>(0.1563)</t>
  </si>
  <si>
    <t>(0.2761)</t>
  </si>
  <si>
    <t>(0.1765)</t>
  </si>
  <si>
    <t>(0.1328)</t>
  </si>
  <si>
    <t>(0.2134)</t>
  </si>
  <si>
    <t>-0.0594</t>
  </si>
  <si>
    <t>(0.1826)</t>
  </si>
  <si>
    <t>(0.1376)</t>
  </si>
  <si>
    <t>(0.1775)</t>
  </si>
  <si>
    <t>(0.1879)</t>
  </si>
  <si>
    <t>(0.1476)</t>
  </si>
  <si>
    <t>(0.1443)</t>
  </si>
  <si>
    <t>(0.1492)</t>
  </si>
  <si>
    <t>(0.1279)</t>
  </si>
  <si>
    <t>(0.1897)</t>
  </si>
  <si>
    <t>(0.7812)</t>
  </si>
  <si>
    <t>(0.1631)</t>
  </si>
  <si>
    <t>-0.0153</t>
  </si>
  <si>
    <t>(0.1720)</t>
  </si>
  <si>
    <t>(0.1870)</t>
  </si>
  <si>
    <t>(0.1878)</t>
  </si>
  <si>
    <t>(0.1694)</t>
  </si>
  <si>
    <t>(0.1381)</t>
  </si>
  <si>
    <t>(0.3045)</t>
  </si>
  <si>
    <t>(0.1453)</t>
  </si>
  <si>
    <t>(0.1504)</t>
  </si>
  <si>
    <t>0.1020</t>
  </si>
  <si>
    <t>(0.1628)</t>
  </si>
  <si>
    <t>(0.1435)</t>
  </si>
  <si>
    <t>(0.1437)</t>
  </si>
  <si>
    <t>(0.1630)</t>
  </si>
  <si>
    <t>(0.1216)</t>
  </si>
  <si>
    <t>(0.2575)</t>
  </si>
  <si>
    <t>(0.2497)</t>
  </si>
  <si>
    <t>(0.1324)</t>
  </si>
  <si>
    <t>(0.4392)</t>
  </si>
  <si>
    <t>(0.2488)</t>
  </si>
  <si>
    <t>(0.2124)</t>
  </si>
  <si>
    <t>(0.1648)</t>
  </si>
  <si>
    <t>-0.0073</t>
  </si>
  <si>
    <t>-0.1069</t>
  </si>
  <si>
    <t>(0.1450)</t>
  </si>
  <si>
    <t>(0.1150)</t>
  </si>
  <si>
    <t>(0.2702)</t>
  </si>
  <si>
    <t>(0.1368)</t>
  </si>
  <si>
    <t>(0.1912)</t>
  </si>
  <si>
    <t>(0.2147)</t>
  </si>
  <si>
    <t>-0.2251</t>
  </si>
  <si>
    <t>0.1011</t>
  </si>
  <si>
    <t>0.0105</t>
  </si>
  <si>
    <t>(0.2503)</t>
  </si>
  <si>
    <t>(0.1930)</t>
  </si>
  <si>
    <t>(0.4661)</t>
  </si>
  <si>
    <t>(0.1817)</t>
  </si>
  <si>
    <t>(0.1536)</t>
  </si>
  <si>
    <t>(0.2529)</t>
  </si>
  <si>
    <t>0.1870</t>
  </si>
  <si>
    <t>(0.1380)</t>
  </si>
  <si>
    <t>(0.1113)</t>
  </si>
  <si>
    <t>(0.1294)</t>
  </si>
  <si>
    <t>(0.0880)</t>
  </si>
  <si>
    <t>-0.2493</t>
  </si>
  <si>
    <t>(0.1807)</t>
  </si>
  <si>
    <t>(0.1880)</t>
  </si>
  <si>
    <t>(0.3332)</t>
  </si>
  <si>
    <t>-0.0640</t>
  </si>
  <si>
    <t>(0.0829)</t>
  </si>
  <si>
    <t>(0.1951)</t>
  </si>
  <si>
    <t>(0.1309)</t>
  </si>
  <si>
    <t>(0.1268)</t>
  </si>
  <si>
    <t>(0.2139)</t>
  </si>
  <si>
    <t>0.0084</t>
  </si>
  <si>
    <t>(0.1251)</t>
  </si>
  <si>
    <t>(0.0739)</t>
  </si>
  <si>
    <t>(0.1875)</t>
  </si>
  <si>
    <t>(0.3366)</t>
  </si>
  <si>
    <t>(0.2326)</t>
  </si>
  <si>
    <t>(0.3294)</t>
  </si>
  <si>
    <t>(0.3793)</t>
  </si>
  <si>
    <t>(0.1615)</t>
  </si>
  <si>
    <t>(0.2058)</t>
  </si>
  <si>
    <t>(0.1901)</t>
  </si>
  <si>
    <t>-0.0959</t>
  </si>
  <si>
    <t>(0.1444)</t>
  </si>
  <si>
    <t>(0.1474)</t>
  </si>
  <si>
    <t>0.0635</t>
  </si>
  <si>
    <t>(0.1613)</t>
  </si>
  <si>
    <t>(0.1439)</t>
  </si>
  <si>
    <t>(0.2458)</t>
  </si>
  <si>
    <t>(0.3325)</t>
  </si>
  <si>
    <t>(0.3347)</t>
  </si>
  <si>
    <t>-0.2596</t>
  </si>
  <si>
    <t>(0.1317)</t>
  </si>
  <si>
    <t>(0.1609)</t>
  </si>
  <si>
    <t>0.0893</t>
  </si>
  <si>
    <t>(0.1705)</t>
  </si>
  <si>
    <t>(0.2447)</t>
  </si>
  <si>
    <t>(0.4013)</t>
  </si>
  <si>
    <t>-0.0796</t>
  </si>
  <si>
    <t>(0.2082)</t>
  </si>
  <si>
    <t>0.0901</t>
  </si>
  <si>
    <t>(0.1421)</t>
  </si>
  <si>
    <t>(0.1076)</t>
  </si>
  <si>
    <t>(0.2605)</t>
  </si>
  <si>
    <t>(0.3270)</t>
  </si>
  <si>
    <t>(0.3840)</t>
  </si>
  <si>
    <t>(0.2166)</t>
  </si>
  <si>
    <t>(0.1699)</t>
  </si>
  <si>
    <t>(0.1298)</t>
  </si>
  <si>
    <t>(0.1311)</t>
  </si>
  <si>
    <t>(0.2130)</t>
  </si>
  <si>
    <t>(0.2693)</t>
  </si>
  <si>
    <t>0.1115</t>
  </si>
  <si>
    <t>(0.1668)</t>
  </si>
  <si>
    <t>(0.1399)</t>
  </si>
  <si>
    <t>(0.1249)</t>
  </si>
  <si>
    <t>(0.1231)</t>
  </si>
  <si>
    <t>(0.1308)</t>
  </si>
  <si>
    <t>(0.0735)</t>
  </si>
  <si>
    <t>-1.5703</t>
  </si>
  <si>
    <t>(1.1518)</t>
  </si>
  <si>
    <t>(0.6502)</t>
  </si>
  <si>
    <t>(1.0969)</t>
  </si>
  <si>
    <t>(0.1197)</t>
  </si>
  <si>
    <t>(0.1551)</t>
  </si>
  <si>
    <t>(0.1189)</t>
  </si>
  <si>
    <t>(0.1987)</t>
  </si>
  <si>
    <t>-1.3660</t>
  </si>
  <si>
    <t>(1.1978)</t>
  </si>
  <si>
    <t>(0.1925)</t>
  </si>
  <si>
    <t>(0.1573)</t>
  </si>
  <si>
    <t>(0.1071)</t>
  </si>
  <si>
    <t>0.4574</t>
  </si>
  <si>
    <t>-0.3468</t>
  </si>
  <si>
    <t>(0.2859)</t>
  </si>
  <si>
    <t>(0.4914)</t>
  </si>
  <si>
    <t>(0.3253)</t>
  </si>
  <si>
    <t>(0.2868)</t>
  </si>
  <si>
    <t>(0.1740)</t>
  </si>
  <si>
    <t>(0.1681)</t>
  </si>
  <si>
    <t>-0.0417</t>
  </si>
  <si>
    <t>(0.2079)</t>
  </si>
  <si>
    <t>(0.1528)</t>
  </si>
  <si>
    <t>(0.1718)</t>
  </si>
  <si>
    <t>(0.3010)</t>
  </si>
  <si>
    <t>(0.3768)</t>
  </si>
  <si>
    <t>(0.1715)</t>
  </si>
  <si>
    <t>(0.3877)</t>
  </si>
  <si>
    <t>(0.3777)</t>
  </si>
  <si>
    <t>(0.1025)</t>
  </si>
  <si>
    <t>(0.1547)</t>
  </si>
  <si>
    <t>(0.1926)</t>
  </si>
  <si>
    <t>(0.1461)</t>
  </si>
  <si>
    <t>(0.1386)</t>
  </si>
  <si>
    <t>0.0763</t>
  </si>
  <si>
    <t>(0.1355)</t>
  </si>
  <si>
    <t>(0.4240)</t>
  </si>
  <si>
    <t>(0.2554)</t>
  </si>
  <si>
    <t>(0.2064)</t>
  </si>
  <si>
    <t>(0.2052)</t>
  </si>
  <si>
    <t>(0.4041)</t>
  </si>
  <si>
    <r>
      <t>0.2215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</si>
  <si>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-0.2597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</si>
  <si>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-2.6876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</si>
  <si>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-0.2470</t>
    </r>
    <r>
      <rPr>
        <vertAlign val="superscript"/>
        <sz val="11"/>
        <color theme="1"/>
        <rFont val="Calibri"/>
        <family val="2"/>
        <scheme val="minor"/>
      </rPr>
      <t>c</t>
    </r>
  </si>
  <si>
    <r>
      <t>-1.7900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</si>
  <si>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-2.7006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</si>
  <si>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-0.4404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</si>
  <si>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-1.9815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</si>
  <si>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-5.6805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</si>
  <si>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5.5140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</si>
  <si>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-0.6228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</si>
  <si>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-3.9591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</si>
  <si>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-2.7282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</si>
  <si>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-1.5767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</si>
  <si>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0.5071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</si>
  <si>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0.6698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</si>
  <si>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0.5594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</si>
  <si>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0.8863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</si>
  <si>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1.2213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</si>
  <si>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-1.0580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</si>
  <si>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0.8171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</si>
  <si>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0.4511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</si>
  <si>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-0.7705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</si>
  <si>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-0.5603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</si>
  <si>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-2.0882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</si>
  <si>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1.7448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</si>
  <si>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-8.6986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</si>
  <si>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2.7829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</si>
  <si>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-5.9763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</si>
  <si>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3.1121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</si>
  <si>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-3.1740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</si>
  <si>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-0.5495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</si>
  <si>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2.3083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</si>
  <si>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-1.5723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</si>
  <si>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-0.8421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</si>
  <si>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-1.3612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</si>
  <si>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-4.7965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</si>
  <si>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7.0542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</si>
  <si>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-1.8488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</si>
  <si>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-1.4348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</si>
  <si>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0.6613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</si>
  <si>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-0.5745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</si>
  <si>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-2.2699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</si>
  <si>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-0.5389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</si>
  <si>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-1.7982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</si>
  <si>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-0.5040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</si>
  <si>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-0.2556</t>
    </r>
    <r>
      <rPr>
        <vertAlign val="superscript"/>
        <sz val="11"/>
        <color theme="1"/>
        <rFont val="Calibri"/>
        <family val="2"/>
        <scheme val="minor"/>
      </rPr>
      <t>c</t>
    </r>
  </si>
  <si>
    <r>
      <t>-2.2735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</si>
  <si>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-2.6958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</si>
  <si>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-0.6128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</si>
  <si>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-1.9355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</si>
  <si>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-2.4753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</si>
  <si>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-0.4202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</si>
  <si>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-1.8940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</si>
  <si>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-3.4526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</si>
  <si>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4.6095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</si>
  <si>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-2.4834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</si>
  <si>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-2.7630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</si>
  <si>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-2.5044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</si>
  <si>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-2.1290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</si>
  <si>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0.9437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</si>
  <si>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-1.4885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</si>
  <si>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5.8835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</si>
  <si>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-1.5587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</si>
  <si>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-1.0567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</si>
  <si>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-2.1188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</si>
  <si>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0.7413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</si>
  <si>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0.7781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</si>
  <si>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-2.2917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</si>
  <si>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-0.6442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</si>
  <si>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-1.6492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</si>
  <si>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1.2223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</si>
  <si>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-0.3988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</si>
  <si>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0.5724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</si>
  <si>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-3.5157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</si>
  <si>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0.2491</t>
    </r>
    <r>
      <rPr>
        <vertAlign val="superscript"/>
        <sz val="11"/>
        <color theme="1"/>
        <rFont val="Calibri"/>
        <family val="2"/>
        <scheme val="minor"/>
      </rPr>
      <t>c</t>
    </r>
  </si>
  <si>
    <r>
      <t>-1.7085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</si>
  <si>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-1.5677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</si>
  <si>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-0.7280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</si>
  <si>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-2.1870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</si>
  <si>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-1.8164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</si>
  <si>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-3.2787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</si>
  <si>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2.3678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</si>
  <si>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-0.9439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</si>
  <si>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-0.3695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</si>
  <si>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-0.4369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</si>
  <si>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-1.0860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</si>
  <si>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1.4885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</si>
  <si>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0.5296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</si>
  <si>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-1.3438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</si>
  <si>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1.0745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</si>
  <si>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0.7209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</si>
  <si>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-0.6468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</si>
  <si>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0.3642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</si>
  <si>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-0.4857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</si>
  <si>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1.9440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</si>
  <si>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-1.0926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</si>
  <si>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-1.4853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</si>
  <si>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-2.3586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</si>
  <si>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-1.2584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</si>
  <si>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1.4803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</si>
  <si>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0.3436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</si>
  <si>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-1.6856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</si>
  <si>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0.7519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</si>
  <si>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-1.5788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</si>
  <si>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1.5305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</si>
  <si>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-0.7314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</si>
  <si>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-0.2887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</si>
  <si>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0.5600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</si>
  <si>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0.9652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</si>
  <si>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0.9684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</si>
  <si>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-1.1516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</si>
  <si>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0.5908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</si>
  <si>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-0.5541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</si>
  <si>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-1.2425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</si>
  <si>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1.0219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</si>
  <si>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-0.7276</t>
    </r>
    <r>
      <rPr>
        <vertAlign val="superscript"/>
        <sz val="11"/>
        <color theme="1"/>
        <rFont val="Calibri"/>
        <family val="2"/>
        <scheme val="minor"/>
      </rPr>
      <t>b</t>
    </r>
  </si>
  <si>
    <r>
      <t>2.3968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</si>
  <si>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-2.7150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</si>
  <si>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2.1402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</si>
  <si>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-0.6843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</si>
  <si>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-2.9855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</si>
  <si>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-2.2064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</si>
  <si>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-0.7872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</si>
  <si>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-0.3614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</si>
  <si>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-0.8975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</si>
  <si>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-4.1283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</si>
  <si>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2.4682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</si>
  <si>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-2.0317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</si>
  <si>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2.1518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</si>
  <si>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0.4996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</si>
  <si>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-0.4706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</si>
  <si>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0.1689</t>
    </r>
    <r>
      <rPr>
        <vertAlign val="superscript"/>
        <sz val="11"/>
        <color theme="1"/>
        <rFont val="Calibri"/>
        <family val="2"/>
        <scheme val="minor"/>
      </rPr>
      <t>c</t>
    </r>
  </si>
  <si>
    <r>
      <t>0.6575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</si>
  <si>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-1.4014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</si>
  <si>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-0.5144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</si>
  <si>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-0.6802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</si>
  <si>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-0.7406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</si>
  <si>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-0.7716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</si>
  <si>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-2.4713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</si>
  <si>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-2.5457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</si>
  <si>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1.2045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</si>
  <si>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-1.4197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</si>
  <si>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1.5261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</si>
  <si>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-1.8746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</si>
  <si>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0.7809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</si>
  <si>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-1.2865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</si>
  <si>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-1.2101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</si>
  <si>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-0.5258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</si>
  <si>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-1.1754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</si>
  <si>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-3.1533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</si>
  <si>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-2.9104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</si>
  <si>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-1.5836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</si>
  <si>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-0.2172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</si>
  <si>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1.0426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</si>
  <si>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0.7860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</si>
  <si>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-4.5782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</si>
  <si>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2.2327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</si>
  <si>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-0.2742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</si>
  <si>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-0.8980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</si>
  <si>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-1.1304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</si>
  <si>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0.6459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</si>
  <si>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0.5514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</si>
  <si>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-2.4361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</si>
  <si>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-0.6978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</si>
  <si>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-1.9152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</si>
  <si>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-1.0074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</si>
  <si>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2.5004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</si>
  <si>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1.2675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</si>
  <si>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-0.5877</t>
    </r>
    <r>
      <rPr>
        <vertAlign val="superscript"/>
        <sz val="11"/>
        <color theme="1"/>
        <rFont val="Calibri"/>
        <family val="2"/>
        <scheme val="minor"/>
      </rPr>
      <t>b</t>
    </r>
  </si>
  <si>
    <r>
      <t>0.5751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</si>
  <si>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-0.3775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</si>
  <si>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-0.8383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</si>
  <si>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-1.2755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</si>
  <si>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-0.8292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</si>
  <si>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-1.1643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</si>
  <si>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0.7157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</si>
  <si>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-4.3312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</si>
  <si>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1.4938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</si>
  <si>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-3.2197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</si>
  <si>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1.2421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</si>
  <si>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-1.7758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</si>
  <si>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1.1268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</si>
  <si>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-0.5366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</si>
  <si>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1.1254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</si>
  <si>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-1.4899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</si>
  <si>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0.3317</t>
    </r>
    <r>
      <rPr>
        <vertAlign val="superscript"/>
        <sz val="11"/>
        <color theme="1"/>
        <rFont val="Calibri"/>
        <family val="2"/>
        <scheme val="minor"/>
      </rPr>
      <t>b</t>
    </r>
  </si>
  <si>
    <r>
      <t>-0.7803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</si>
  <si>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0.2335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</si>
  <si>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1.0468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</si>
  <si>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-0.8111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</si>
  <si>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-9.9315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</si>
  <si>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-5.8407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</si>
  <si>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0.8918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</si>
  <si>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-4.3678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</si>
  <si>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-3.4071</t>
    </r>
    <r>
      <rPr>
        <vertAlign val="superscript"/>
        <sz val="11"/>
        <color theme="1"/>
        <rFont val="Calibri"/>
        <family val="2"/>
        <scheme val="minor"/>
      </rPr>
      <t>a</t>
    </r>
  </si>
  <si>
    <t>Cape Verde 09</t>
  </si>
  <si>
    <t>Cape Verde 06</t>
  </si>
  <si>
    <t>Guatemala 03</t>
  </si>
  <si>
    <t>Guatemala 10</t>
  </si>
  <si>
    <t>E:\Documents\Dropbox\InformalEconomy\Informality_2013\Enterprise surveys\DoFiles\All05222014_jan.do</t>
  </si>
  <si>
    <t>Value Added per Worker</t>
  </si>
  <si>
    <t>lc</t>
  </si>
  <si>
    <t>Labor Force</t>
  </si>
  <si>
    <t>Growth Labor Force</t>
  </si>
  <si>
    <t>Fraction VA Informal / Formal</t>
  </si>
  <si>
    <t>Top Manager Informal has College</t>
  </si>
  <si>
    <t>Top Manager Formal has College</t>
  </si>
  <si>
    <t>Value Added Informal</t>
  </si>
  <si>
    <t>Value Added Formall</t>
  </si>
  <si>
    <t>Value Added Small Formall</t>
  </si>
  <si>
    <t>Source:  La Porta and Shleifer (2008).</t>
  </si>
  <si>
    <t>Region</t>
  </si>
  <si>
    <t>Abu Dhabi</t>
  </si>
  <si>
    <t>Ajman</t>
  </si>
  <si>
    <t>Dubai</t>
  </si>
  <si>
    <t>Fujairah</t>
  </si>
  <si>
    <t>Ras al-Khaimah</t>
  </si>
  <si>
    <t>Sharjah</t>
  </si>
  <si>
    <t>Umm al-Quwain</t>
  </si>
  <si>
    <t>Buenos Aires</t>
  </si>
  <si>
    <t>Catamarca</t>
  </si>
  <si>
    <t>Chaco</t>
  </si>
  <si>
    <t>Chubut</t>
  </si>
  <si>
    <t>Cordoba</t>
  </si>
  <si>
    <t>Corrientes</t>
  </si>
  <si>
    <t>Distrito Federal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</si>
  <si>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</si>
  <si>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</si>
  <si>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</si>
  <si>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</si>
  <si>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</si>
  <si>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</si>
  <si>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</si>
  <si>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</si>
  <si>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</si>
  <si>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</si>
  <si>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</si>
  <si>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</si>
  <si>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</si>
  <si>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</si>
  <si>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</si>
  <si>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</si>
  <si>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</si>
  <si>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Burgenland</t>
  </si>
  <si>
    <t>Karnten</t>
  </si>
  <si>
    <t>Niederoesterreich</t>
  </si>
  <si>
    <t>Oberoesterreich</t>
  </si>
  <si>
    <t>Salzburg</t>
  </si>
  <si>
    <t>Steiermark</t>
  </si>
  <si>
    <t>Tirol</t>
  </si>
  <si>
    <t>Vorarlberg</t>
  </si>
  <si>
    <t>Wien</t>
  </si>
  <si>
    <t>Antwerp</t>
  </si>
  <si>
    <t>Bruxelles-Cap./Brussels Hoofdstedlijk</t>
  </si>
  <si>
    <t>Flemish Brabant</t>
  </si>
  <si>
    <t>Limburg</t>
  </si>
  <si>
    <t>Prov. Brabant Wallon</t>
  </si>
  <si>
    <t>Prov. Hainaut</t>
  </si>
  <si>
    <t>Prov. Liège</t>
  </si>
  <si>
    <t>Prov. Luxembourg (B)</t>
  </si>
  <si>
    <t>Prov. Namur</t>
  </si>
  <si>
    <t>Prov. Oost-Vlaanderen</t>
  </si>
  <si>
    <t>West Flanders</t>
  </si>
  <si>
    <t>Alibori</t>
  </si>
  <si>
    <t>Atacora</t>
  </si>
  <si>
    <t>Atlantique</t>
  </si>
  <si>
    <t>Borgou</t>
  </si>
  <si>
    <t>Collines</t>
  </si>
  <si>
    <t>Couffo</t>
  </si>
  <si>
    <t>Donga</t>
  </si>
  <si>
    <t>Littoral</t>
  </si>
  <si>
    <t>Mono</t>
  </si>
  <si>
    <t>Ouémé</t>
  </si>
  <si>
    <t>Plateau</t>
  </si>
  <si>
    <t>Zou</t>
  </si>
  <si>
    <t>Boucle du Mouhoun</t>
  </si>
  <si>
    <t>Cascades</t>
  </si>
  <si>
    <t>Centre</t>
  </si>
  <si>
    <t>Centre-Est</t>
  </si>
  <si>
    <t>Centre-Nord</t>
  </si>
  <si>
    <t>Centre-Ouest</t>
  </si>
  <si>
    <t>Centre-Sud</t>
  </si>
  <si>
    <t>Est</t>
  </si>
  <si>
    <t>Hauts-Bassins</t>
  </si>
  <si>
    <t>Nord</t>
  </si>
  <si>
    <t>Sahel</t>
  </si>
  <si>
    <t>Sud-Ouest</t>
  </si>
  <si>
    <t>Severen tsentralen</t>
  </si>
  <si>
    <t>Severoiztochen</t>
  </si>
  <si>
    <t>Yugoiztochen</t>
  </si>
  <si>
    <t>Yugozapaden</t>
  </si>
  <si>
    <t>Yuzhen tsentralen</t>
  </si>
  <si>
    <t>Severozapaden</t>
  </si>
  <si>
    <t>Federation of Bosnia and Herzegovina</t>
  </si>
  <si>
    <t>Acre</t>
  </si>
  <si>
    <t>Alagoas</t>
  </si>
  <si>
    <t>Amapá</t>
  </si>
  <si>
    <t>Amazonas</t>
  </si>
  <si>
    <t>Bahia</t>
  </si>
  <si>
    <t>Ceará</t>
  </si>
  <si>
    <t>Espírito Santo</t>
  </si>
  <si>
    <t>Goiás</t>
  </si>
  <si>
    <t>Maranhão</t>
  </si>
  <si>
    <t>Mato Grosso</t>
  </si>
  <si>
    <t>Mato Grosso do Sul</t>
  </si>
  <si>
    <t>Minas Gerais</t>
  </si>
  <si>
    <t>Paraná</t>
  </si>
  <si>
    <t>Paraíba</t>
  </si>
  <si>
    <t>Pará</t>
  </si>
  <si>
    <t>Pernambuco</t>
  </si>
  <si>
    <t>Piauí</t>
  </si>
  <si>
    <t>Rio Grande do Norte</t>
  </si>
  <si>
    <t>Rio Grande do Sul</t>
  </si>
  <si>
    <t>Rio de Janeiro</t>
  </si>
  <si>
    <t>Rondônia</t>
  </si>
  <si>
    <t>Roraima</t>
  </si>
  <si>
    <t>Santa Catarina</t>
  </si>
  <si>
    <t>Sergipe</t>
  </si>
  <si>
    <t>São Paulo</t>
  </si>
  <si>
    <t>Tocantins</t>
  </si>
  <si>
    <t>Alberta</t>
  </si>
  <si>
    <t>British Columbia</t>
  </si>
  <si>
    <t>Manitoba</t>
  </si>
  <si>
    <t>New Brunswick</t>
  </si>
  <si>
    <t>Newfoundland-Labrador</t>
  </si>
  <si>
    <t>Northwest Territories</t>
  </si>
  <si>
    <t>Nova Scotia</t>
  </si>
  <si>
    <t>Ontario</t>
  </si>
  <si>
    <t>Prince Edward Island</t>
  </si>
  <si>
    <t>Quebec</t>
  </si>
  <si>
    <t>Saskatchewan</t>
  </si>
  <si>
    <t>Yukon</t>
  </si>
  <si>
    <t>Appenzell Rh.-Ext.</t>
  </si>
  <si>
    <t>Appenzell Rh.-Int.</t>
  </si>
  <si>
    <t>Argovie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</si>
  <si>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</si>
  <si>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</si>
  <si>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</si>
  <si>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</si>
  <si>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</si>
  <si>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</si>
  <si>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</si>
  <si>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</si>
  <si>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</si>
  <si>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</si>
  <si>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Obwald</t>
  </si>
  <si>
    <t>Saint-Gall</t>
  </si>
  <si>
    <t>Schaffhouse</t>
  </si>
  <si>
    <t>Schwytz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</si>
  <si>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</si>
  <si>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</si>
  <si>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</si>
  <si>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</si>
  <si>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</si>
  <si>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</si>
  <si>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</si>
  <si>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</si>
  <si>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</si>
  <si>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</si>
  <si>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</si>
  <si>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</si>
  <si>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</si>
  <si>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</si>
  <si>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</si>
  <si>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</si>
  <si>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</si>
  <si>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</si>
  <si>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</si>
  <si>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</si>
  <si>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</si>
  <si>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</si>
  <si>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Inner Mongolia</t>
  </si>
  <si>
    <t>Jiangsu</t>
  </si>
  <si>
    <t>Jiangxi</t>
  </si>
  <si>
    <t>Jilin</t>
  </si>
  <si>
    <t>Liaoning</t>
  </si>
  <si>
    <t>Ningxia</t>
  </si>
  <si>
    <t>Qinghai</t>
  </si>
  <si>
    <t>Shaanxi</t>
  </si>
  <si>
    <t>Shandong</t>
  </si>
  <si>
    <t>Shanghai</t>
  </si>
  <si>
    <t>Shanxi</t>
  </si>
  <si>
    <t>Sichuan</t>
  </si>
  <si>
    <t>Tianjin</t>
  </si>
  <si>
    <t>Tibet</t>
  </si>
  <si>
    <t>Xinjiang</t>
  </si>
  <si>
    <t>Yunnan</t>
  </si>
  <si>
    <t>Zhejiang</t>
  </si>
  <si>
    <t>Adamaoua</t>
  </si>
  <si>
    <t>Extreme Nord</t>
  </si>
  <si>
    <t>Nord Ouest</t>
  </si>
  <si>
    <t>Ouest</t>
  </si>
  <si>
    <t>Sud</t>
  </si>
  <si>
    <t>Sud Ouest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</si>
  <si>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</si>
  <si>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</si>
  <si>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</si>
  <si>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</si>
  <si>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</si>
  <si>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</si>
  <si>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</si>
  <si>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</si>
  <si>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</si>
  <si>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</si>
  <si>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</si>
  <si>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</si>
  <si>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</si>
  <si>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</si>
  <si>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</si>
  <si>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</si>
  <si>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</si>
  <si>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</si>
  <si>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</si>
  <si>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</si>
  <si>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</si>
  <si>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</si>
  <si>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</si>
  <si>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</si>
  <si>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</si>
  <si>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</si>
  <si>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ANDRES,PROVIDENCIA Y SANTA CATALINA</t>
  </si>
  <si>
    <t>SANTANDER</t>
  </si>
  <si>
    <t>SUCRE</t>
  </si>
  <si>
    <t>TOLIMA</t>
  </si>
  <si>
    <t>VALLE DEL CAUCA</t>
  </si>
  <si>
    <t>VAUPES</t>
  </si>
  <si>
    <t>VICHADA</t>
  </si>
  <si>
    <t>Jihovyched</t>
  </si>
  <si>
    <t>Jihozapad</t>
  </si>
  <si>
    <t>Moravskoslezko</t>
  </si>
  <si>
    <t>Praha</t>
  </si>
  <si>
    <t>Severovychod</t>
  </si>
  <si>
    <t>Severozapad</t>
  </si>
  <si>
    <t>Stredni Cechy</t>
  </si>
  <si>
    <t>Stredni Morava</t>
  </si>
  <si>
    <t>Baden-Wurttemberg</t>
  </si>
  <si>
    <t>Bavaria</t>
  </si>
  <si>
    <t>Brandenburg</t>
  </si>
  <si>
    <t>Bremen</t>
  </si>
  <si>
    <t>Hesse</t>
  </si>
  <si>
    <t>North Rhine-Westphalia</t>
  </si>
  <si>
    <t>Rhineland-Palatinate</t>
  </si>
  <si>
    <t>Saarland</t>
  </si>
  <si>
    <t>Saxony</t>
  </si>
  <si>
    <t>Schleswig-Holstein</t>
  </si>
  <si>
    <t>Bornholm</t>
  </si>
  <si>
    <t>Copenhagen County</t>
  </si>
  <si>
    <t>Copenhagen and Frederiksberg</t>
  </si>
  <si>
    <t>Frederiksborg County</t>
  </si>
  <si>
    <t>Funen County</t>
  </si>
  <si>
    <t>North Jutland County</t>
  </si>
  <si>
    <t>Ribe County</t>
  </si>
  <si>
    <t>Ringkøbing County</t>
  </si>
  <si>
    <t>Roskilde County</t>
  </si>
  <si>
    <t>South Jutland County</t>
  </si>
  <si>
    <t>Storstrøm County</t>
  </si>
  <si>
    <t>Vejle County</t>
  </si>
  <si>
    <t>Viborg County</t>
  </si>
  <si>
    <t>West Zealand County</t>
  </si>
  <si>
    <t>Århus County</t>
  </si>
  <si>
    <t>Andalucia</t>
  </si>
  <si>
    <t>Aragon</t>
  </si>
  <si>
    <t>Asturias</t>
  </si>
  <si>
    <t>Baleares</t>
  </si>
  <si>
    <t>Canarias</t>
  </si>
  <si>
    <t>Cantabria</t>
  </si>
  <si>
    <t>Castilla-La Mancha</t>
  </si>
  <si>
    <t>Castilla-Leon</t>
  </si>
  <si>
    <t>Cataluna</t>
  </si>
  <si>
    <t>Ciudad Autónoma De Ceuta</t>
  </si>
  <si>
    <t>Ciudad Autónoma De Melilla</t>
  </si>
  <si>
    <t>Comunidad Valenciana</t>
  </si>
  <si>
    <t>Extremadura</t>
  </si>
  <si>
    <t>Galicia</t>
  </si>
  <si>
    <t>Madrid</t>
  </si>
  <si>
    <t>Murcia</t>
  </si>
  <si>
    <t>Navarra</t>
  </si>
  <si>
    <t>Pais Vasco</t>
  </si>
  <si>
    <t>Rioja</t>
  </si>
  <si>
    <t>Harju</t>
  </si>
  <si>
    <t>Hiiu</t>
  </si>
  <si>
    <t>Ida-Viru</t>
  </si>
  <si>
    <t>Järva</t>
  </si>
  <si>
    <t>Jõgeva</t>
  </si>
  <si>
    <t>Lääne</t>
  </si>
  <si>
    <t>Lääne-Viru</t>
  </si>
  <si>
    <t>Pärnu</t>
  </si>
  <si>
    <t>Põlva</t>
  </si>
  <si>
    <t>Rapla</t>
  </si>
  <si>
    <t>Saare</t>
  </si>
  <si>
    <t>Tartu</t>
  </si>
  <si>
    <t>Valga</t>
  </si>
  <si>
    <t>Viljandi</t>
  </si>
  <si>
    <t>Võru</t>
  </si>
  <si>
    <t>Etela-Suomi</t>
  </si>
  <si>
    <t>Ita-Suomi</t>
  </si>
  <si>
    <t>Lansi-Suomi</t>
  </si>
  <si>
    <t>Pohjois-Suomi</t>
  </si>
  <si>
    <t>Alsace</t>
  </si>
  <si>
    <t>Aquitaine</t>
  </si>
  <si>
    <t>Auvergne</t>
  </si>
  <si>
    <t>Bourgogne</t>
  </si>
  <si>
    <t>Brittany</t>
  </si>
  <si>
    <t>Champagne - Ardenne</t>
  </si>
  <si>
    <t>Corse</t>
  </si>
  <si>
    <t>Franche-Comte</t>
  </si>
  <si>
    <t>Ile-De-France</t>
  </si>
  <si>
    <t>Languedoc - Roussillon</t>
  </si>
  <si>
    <t>Limousin</t>
  </si>
  <si>
    <t>Lorraine</t>
  </si>
  <si>
    <t>Lower Normandy</t>
  </si>
  <si>
    <t>Midi - Pyrenees</t>
  </si>
  <si>
    <t>Nord - Pas-De-Calais</t>
  </si>
  <si>
    <t>Pays De La Loire</t>
  </si>
  <si>
    <t>Picardie</t>
  </si>
  <si>
    <t>Poitou - Charentes</t>
  </si>
  <si>
    <t>Provence - Alpes - Cote Dazur</t>
  </si>
  <si>
    <t>Rhone - Alpes</t>
  </si>
  <si>
    <t>Upper Normandy</t>
  </si>
  <si>
    <t>East Midlands</t>
  </si>
  <si>
    <t>Eastern</t>
  </si>
  <si>
    <t>London</t>
  </si>
  <si>
    <t>North East</t>
  </si>
  <si>
    <t>North West (Including Merseyside)</t>
  </si>
  <si>
    <t>Northern Ireland</t>
  </si>
  <si>
    <t>Scotland</t>
  </si>
  <si>
    <t>South East</t>
  </si>
  <si>
    <t>South West</t>
  </si>
  <si>
    <t>Wales</t>
  </si>
  <si>
    <t>West Midlands</t>
  </si>
  <si>
    <t>Yorkshire And Humberside</t>
  </si>
  <si>
    <t>Ajara</t>
  </si>
  <si>
    <t>Guria</t>
  </si>
  <si>
    <t>Imeriti</t>
  </si>
  <si>
    <t>Kakheti</t>
  </si>
  <si>
    <t>Kvemo Kartli</t>
  </si>
  <si>
    <t>Mtskheta-Mtianeti</t>
  </si>
  <si>
    <t>Racha-Lochkhumi &amp; Kvemo Svaneti</t>
  </si>
  <si>
    <t>Samegrelo &amp; Zemo Svateni</t>
  </si>
  <si>
    <t>Samtskhe-Javakheti</t>
  </si>
  <si>
    <t>Shida Kartli</t>
  </si>
  <si>
    <t>Tbilisi</t>
  </si>
  <si>
    <t>Ashanti</t>
  </si>
  <si>
    <t>Brong Ahafo</t>
  </si>
  <si>
    <t>Central</t>
  </si>
  <si>
    <t>Gt. Accra</t>
  </si>
  <si>
    <t>Northern</t>
  </si>
  <si>
    <t>Upper East</t>
  </si>
  <si>
    <t>Upper West</t>
  </si>
  <si>
    <t>Volta</t>
  </si>
  <si>
    <t>Western</t>
  </si>
  <si>
    <t>Anatoliki Makedonia, Thraki</t>
  </si>
  <si>
    <t>Attiki</t>
  </si>
  <si>
    <t>Dytiki Ellada</t>
  </si>
  <si>
    <t>Dytiki Makedonia</t>
  </si>
  <si>
    <t>Ionia Nisia</t>
  </si>
  <si>
    <t>Ipeiros</t>
  </si>
  <si>
    <t>Kentriki Makedonia</t>
  </si>
  <si>
    <t>Kriti</t>
  </si>
  <si>
    <t>Notio Aigaio</t>
  </si>
  <si>
    <t>Peloponnisos</t>
  </si>
  <si>
    <t>Sterea Ellada</t>
  </si>
  <si>
    <t>Thessalia</t>
  </si>
  <si>
    <t>Voreio Aigaio</t>
  </si>
  <si>
    <t>Bjelovar-Bilogora</t>
  </si>
  <si>
    <t>Dubrovnik-Neretva</t>
  </si>
  <si>
    <t>Istria</t>
  </si>
  <si>
    <t>Karlovac</t>
  </si>
  <si>
    <t>Koprivnica-Križevci</t>
  </si>
  <si>
    <t>Krapina-Zagorje</t>
  </si>
  <si>
    <t>Lika-Senj</t>
  </si>
  <si>
    <t>Medimurje</t>
  </si>
  <si>
    <t>Osijek-Baranja</t>
  </si>
  <si>
    <t>Požega-Slavonia</t>
  </si>
  <si>
    <t>Primorje-Gorski kotar</t>
  </si>
  <si>
    <t>Sisak-Moslavina</t>
  </si>
  <si>
    <t>Slavonski Brod-Posavina</t>
  </si>
  <si>
    <t>Split-Dalmatia</t>
  </si>
  <si>
    <t>Varaždin</t>
  </si>
  <si>
    <t>Virovitica-Podravina</t>
  </si>
  <si>
    <t>Vukovar-Sirmium</t>
  </si>
  <si>
    <t>Zadar</t>
  </si>
  <si>
    <t>Zagreb</t>
  </si>
  <si>
    <t>Šibenik-Knin</t>
  </si>
  <si>
    <t>Del-Alfold/Southern Great Plain</t>
  </si>
  <si>
    <t>Del-Dunantul/Southern Transdanubia</t>
  </si>
  <si>
    <t>Eszak-Alfold/Northern Great Plain</t>
  </si>
  <si>
    <t>Eszak-Magyarorszag/Northern Hungary</t>
  </si>
  <si>
    <t>Kosep-Dunantul/Central Transdanubia</t>
  </si>
  <si>
    <t>Kosep-Magyarorszag</t>
  </si>
  <si>
    <t>Nyugat-Dunantul/Western Transdanubia</t>
  </si>
  <si>
    <t>Andaman &amp; Nicobar Islands</t>
  </si>
  <si>
    <t>Andhra Pradesh</t>
  </si>
  <si>
    <t>Arunachal Pradesh</t>
  </si>
  <si>
    <t>Assam</t>
  </si>
  <si>
    <t>Bihar</t>
  </si>
  <si>
    <t>Chandigarh</t>
  </si>
  <si>
    <t>Chattisgarh</t>
  </si>
  <si>
    <t>Delhi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</si>
  <si>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</si>
  <si>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</si>
  <si>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</si>
  <si>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</si>
  <si>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</si>
  <si>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</si>
  <si>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</si>
  <si>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</si>
  <si>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</si>
  <si>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</si>
  <si>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</si>
  <si>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</si>
  <si>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</si>
  <si>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</si>
  <si>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</si>
  <si>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</si>
  <si>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</si>
  <si>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</si>
  <si>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</si>
  <si>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</si>
  <si>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</si>
  <si>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</si>
  <si>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Uttaranchal</t>
  </si>
  <si>
    <t>West Bengal</t>
  </si>
  <si>
    <t>Border, Midlands and Western</t>
  </si>
  <si>
    <t>Southern and Eastern</t>
  </si>
  <si>
    <t>Abruzzo</t>
  </si>
  <si>
    <t>Basilicata</t>
  </si>
  <si>
    <t>Campania</t>
  </si>
  <si>
    <t>Emilia-Romagna</t>
  </si>
  <si>
    <t>Friuli-Venezia Giulia</t>
  </si>
  <si>
    <t>Lazio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</si>
  <si>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</si>
  <si>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</si>
  <si>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</si>
  <si>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</si>
  <si>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</si>
  <si>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</si>
  <si>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</si>
  <si>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</si>
  <si>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</si>
  <si>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</si>
  <si>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Veneto</t>
  </si>
  <si>
    <t>Ajloun</t>
  </si>
  <si>
    <t>Amman</t>
  </si>
  <si>
    <t>Aqaba</t>
  </si>
  <si>
    <t>Balqa</t>
  </si>
  <si>
    <t>Irbid</t>
  </si>
  <si>
    <t>Jarash</t>
  </si>
  <si>
    <t>Karak</t>
  </si>
  <si>
    <t>Ma'an</t>
  </si>
  <si>
    <t>Madaba</t>
  </si>
  <si>
    <t>Mafraq</t>
  </si>
  <si>
    <t>Tafileh</t>
  </si>
  <si>
    <t>Zarqa</t>
  </si>
  <si>
    <t>Aichi</t>
  </si>
  <si>
    <t>Akita</t>
  </si>
  <si>
    <t>Aomori</t>
  </si>
  <si>
    <t>Chiba</t>
  </si>
  <si>
    <t>Ehime</t>
  </si>
  <si>
    <t>Fukui</t>
  </si>
  <si>
    <t>Fukuoka</t>
  </si>
  <si>
    <t>Fukushima</t>
  </si>
  <si>
    <t>Gifu</t>
  </si>
  <si>
    <t>Gumma</t>
  </si>
  <si>
    <t>Hiroshima</t>
  </si>
  <si>
    <t>Hokkaido</t>
  </si>
  <si>
    <t>Hyogo</t>
  </si>
  <si>
    <t>Ibaraki</t>
  </si>
  <si>
    <t>Ishikawa</t>
  </si>
  <si>
    <t>Iwate</t>
  </si>
  <si>
    <t>Kagawa</t>
  </si>
  <si>
    <t>Kagoshima</t>
  </si>
  <si>
    <t>Kanagawa</t>
  </si>
  <si>
    <t>Kochi</t>
  </si>
  <si>
    <t>Kumamoto</t>
  </si>
  <si>
    <t>Kyoto</t>
  </si>
  <si>
    <t>Mie</t>
  </si>
  <si>
    <t>Miyagi</t>
  </si>
  <si>
    <t>Miyazaki</t>
  </si>
  <si>
    <t>Nagano</t>
  </si>
  <si>
    <t>Nagasaki</t>
  </si>
  <si>
    <t>Nara</t>
  </si>
  <si>
    <t>Niigata</t>
  </si>
  <si>
    <t>Oita</t>
  </si>
  <si>
    <t>Okayama</t>
  </si>
  <si>
    <t>Okinawa</t>
  </si>
  <si>
    <t>Osaka</t>
  </si>
  <si>
    <t>Saga</t>
  </si>
  <si>
    <t>Saitama</t>
  </si>
  <si>
    <t>Shiga</t>
  </si>
  <si>
    <t>Shimane</t>
  </si>
  <si>
    <t>Shizuoka</t>
  </si>
  <si>
    <t>Tochigi</t>
  </si>
  <si>
    <t>Tokushima</t>
  </si>
  <si>
    <t>Tokyo</t>
  </si>
  <si>
    <t>Tottori</t>
  </si>
  <si>
    <t>Toyama</t>
  </si>
  <si>
    <t>Wakayama</t>
  </si>
  <si>
    <t>Yamagata</t>
  </si>
  <si>
    <t>Yamaguchi</t>
  </si>
  <si>
    <t>Yamanashi</t>
  </si>
  <si>
    <t>Almaty</t>
  </si>
  <si>
    <t>East</t>
  </si>
  <si>
    <t>North</t>
  </si>
  <si>
    <t>South</t>
  </si>
  <si>
    <t>West</t>
  </si>
  <si>
    <t>Banteay Meanchey</t>
  </si>
  <si>
    <t>Battambang</t>
  </si>
  <si>
    <t>Kampot</t>
  </si>
  <si>
    <t>Kandal</t>
  </si>
  <si>
    <t>Kompong Cham</t>
  </si>
  <si>
    <t>Kompong Chhnang/Pursat</t>
  </si>
  <si>
    <t>Kompong Speu</t>
  </si>
  <si>
    <t>Kompong Thom</t>
  </si>
  <si>
    <t>Others</t>
  </si>
  <si>
    <t>Phnom Penh</t>
  </si>
  <si>
    <t>Prey Veng</t>
  </si>
  <si>
    <t>Siem Reap</t>
  </si>
  <si>
    <t>Sihanoukville/Kep/Koh Kong</t>
  </si>
  <si>
    <t>Svay Rieng</t>
  </si>
  <si>
    <t>Takeo</t>
  </si>
  <si>
    <t>Attapeu</t>
  </si>
  <si>
    <t>Bokeo</t>
  </si>
  <si>
    <t>Bolikhamxay</t>
  </si>
  <si>
    <t>Champasak</t>
  </si>
  <si>
    <t>Houaphanh</t>
  </si>
  <si>
    <t>Khammouane</t>
  </si>
  <si>
    <t>Luang Namtha</t>
  </si>
  <si>
    <t>Luang Prabang</t>
  </si>
  <si>
    <t>Oudomxay</t>
  </si>
  <si>
    <t>Phongsaly</t>
  </si>
  <si>
    <t>Saravanh</t>
  </si>
  <si>
    <t>Savannakhet</t>
  </si>
  <si>
    <t>Saysomboun</t>
  </si>
  <si>
    <t>Sekong</t>
  </si>
  <si>
    <t>Vientiane</t>
  </si>
  <si>
    <t>Vientiane Capital</t>
  </si>
  <si>
    <t>Xayaboury</t>
  </si>
  <si>
    <t>Xieng Khouang</t>
  </si>
  <si>
    <t>Sabaraga-</t>
  </si>
  <si>
    <t>muwa</t>
  </si>
  <si>
    <t>Southern</t>
  </si>
  <si>
    <t>Uva</t>
  </si>
  <si>
    <t>Alytus</t>
  </si>
  <si>
    <t>Kaunas</t>
  </si>
  <si>
    <t>Klaipeda</t>
  </si>
  <si>
    <t>Marijampole</t>
  </si>
  <si>
    <t>Panevezys</t>
  </si>
  <si>
    <t>Siauliai</t>
  </si>
  <si>
    <t>Taurage</t>
  </si>
  <si>
    <t>Telsiai</t>
  </si>
  <si>
    <t>Utena</t>
  </si>
  <si>
    <t>Vilnius</t>
  </si>
  <si>
    <t>Aizkraukle district</t>
  </si>
  <si>
    <t>Aluksne district</t>
  </si>
  <si>
    <t>Balvi district</t>
  </si>
  <si>
    <t>Bauska district</t>
  </si>
  <si>
    <t>Cesis district</t>
  </si>
  <si>
    <t>Daugavpils city under state jurisdiction</t>
  </si>
  <si>
    <t>Daugavpils district</t>
  </si>
  <si>
    <t>Dobele district</t>
  </si>
  <si>
    <t>Gulbene district</t>
  </si>
  <si>
    <t>Jekabpils district</t>
  </si>
  <si>
    <t>Jelgava city under state jurisdiction</t>
  </si>
  <si>
    <t>Jelgava district</t>
  </si>
  <si>
    <t>Jurmala city under state jurisdiction</t>
  </si>
  <si>
    <t>Kraslava district</t>
  </si>
  <si>
    <t>Kuldiga district</t>
  </si>
  <si>
    <t>Liepaja city under state jurisdiction</t>
  </si>
  <si>
    <t>Liepaja district</t>
  </si>
  <si>
    <t>Limbazi district</t>
  </si>
  <si>
    <t>Ludza district</t>
  </si>
  <si>
    <t>Madona district</t>
  </si>
  <si>
    <t>Ogre district</t>
  </si>
  <si>
    <t>Preili district</t>
  </si>
  <si>
    <t>Rezekne city under state jurisdiction</t>
  </si>
  <si>
    <t>Rezekne district</t>
  </si>
  <si>
    <t>Riga city under state jurisdiction</t>
  </si>
  <si>
    <t>Saldus district</t>
  </si>
  <si>
    <t>Talsi district</t>
  </si>
  <si>
    <t>Tukums district</t>
  </si>
  <si>
    <t>Valka district</t>
  </si>
  <si>
    <t>Valmiera district</t>
  </si>
  <si>
    <t>Ventspils city under state jurisdiction</t>
  </si>
  <si>
    <t>Ventspils district</t>
  </si>
  <si>
    <t>Chaouia-Ouardigha</t>
  </si>
  <si>
    <t>Doukala-Abda</t>
  </si>
  <si>
    <t>Fès-Boulemane</t>
  </si>
  <si>
    <t>Gharb-Chrarda-Béni Hssen</t>
  </si>
  <si>
    <t>Grand Casablanca</t>
  </si>
  <si>
    <t>Guelmim-Es-Semara</t>
  </si>
  <si>
    <t>Marrakech-Tensift-Al Haouz</t>
  </si>
  <si>
    <t>Meknès-Tafilalet</t>
  </si>
  <si>
    <t>Oriental</t>
  </si>
  <si>
    <t>Rabat-Salé-Zemmour-Zaer</t>
  </si>
  <si>
    <t>Souss-Massa-Daraa</t>
  </si>
  <si>
    <t>Tadla-Azilal</t>
  </si>
  <si>
    <t>Tanger-Tétouan</t>
  </si>
  <si>
    <t>Taza-Al Hoceima-Taounate</t>
  </si>
  <si>
    <t>Center</t>
  </si>
  <si>
    <t>Chisinau</t>
  </si>
  <si>
    <t>Antananarivo</t>
  </si>
  <si>
    <t>Antsiranana</t>
  </si>
  <si>
    <t>Fianarantsoa</t>
  </si>
  <si>
    <t>Mahajanga</t>
  </si>
  <si>
    <t>Toamasina</t>
  </si>
  <si>
    <t>Toliara</t>
  </si>
  <si>
    <t>Aguascalientes</t>
  </si>
  <si>
    <t>Baja California Norte</t>
  </si>
  <si>
    <t>Baja California Sur</t>
  </si>
  <si>
    <t>Campeche</t>
  </si>
  <si>
    <t>Chiapas</t>
  </si>
  <si>
    <t>Chihuahua</t>
  </si>
  <si>
    <t>Coahuila</t>
  </si>
  <si>
    <t>Colima</t>
  </si>
  <si>
    <t>Durango</t>
  </si>
  <si>
    <t>Guanajuato</t>
  </si>
  <si>
    <t>Guerrero</t>
  </si>
  <si>
    <t>Hidalgo</t>
  </si>
  <si>
    <t>Jalisco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</si>
  <si>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</si>
  <si>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</si>
  <si>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</si>
  <si>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</si>
  <si>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</si>
  <si>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</si>
  <si>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</si>
  <si>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</si>
  <si>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</si>
  <si>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</si>
  <si>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</si>
  <si>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</si>
  <si>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</si>
  <si>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</si>
  <si>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</t>
  </si>
  <si>
    <t>Yucatan</t>
  </si>
  <si>
    <t>Zacatecas</t>
  </si>
  <si>
    <t>Northeast</t>
  </si>
  <si>
    <t>Pelagonian</t>
  </si>
  <si>
    <t>Polog</t>
  </si>
  <si>
    <t>Skopje</t>
  </si>
  <si>
    <t>Southeast</t>
  </si>
  <si>
    <t>Southwest</t>
  </si>
  <si>
    <t>Vardar</t>
  </si>
  <si>
    <t>Arkhangai</t>
  </si>
  <si>
    <t>Bayan-Oigii</t>
  </si>
  <si>
    <t>Bayankhongor</t>
  </si>
  <si>
    <t>Bulgan</t>
  </si>
  <si>
    <t>Chentij {Chentij}</t>
  </si>
  <si>
    <t>Chovd</t>
  </si>
  <si>
    <t>Chovsgol</t>
  </si>
  <si>
    <t>Darkhan-Uul</t>
  </si>
  <si>
    <t>Dornod</t>
  </si>
  <si>
    <t>Dornogovi</t>
  </si>
  <si>
    <t>Dundgovi</t>
  </si>
  <si>
    <t>Govi-Altai</t>
  </si>
  <si>
    <t>Govisumber</t>
  </si>
  <si>
    <t>Omnogovi</t>
  </si>
  <si>
    <t>Orkhon</t>
  </si>
  <si>
    <t>Ovorkhangai</t>
  </si>
  <si>
    <t>Selenge</t>
  </si>
  <si>
    <t>Sukhbaatar</t>
  </si>
  <si>
    <t>Tov</t>
  </si>
  <si>
    <t>Ulaanbaatar</t>
  </si>
  <si>
    <t>Uvs</t>
  </si>
  <si>
    <t>Zavkhan</t>
  </si>
  <si>
    <t>Cabo Delgado</t>
  </si>
  <si>
    <t>Gaza</t>
  </si>
  <si>
    <t>Inhambane</t>
  </si>
  <si>
    <t>Manica</t>
  </si>
  <si>
    <t>Maputo</t>
  </si>
  <si>
    <t>Nampula</t>
  </si>
  <si>
    <t>Niassa</t>
  </si>
  <si>
    <t>Sofala</t>
  </si>
  <si>
    <t>Tete</t>
  </si>
  <si>
    <t>Zambézia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</si>
  <si>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</si>
  <si>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</si>
  <si>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</si>
  <si>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</si>
  <si>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</si>
  <si>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</si>
  <si>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</si>
  <si>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</si>
  <si>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</si>
  <si>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</si>
  <si>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</si>
  <si>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</si>
  <si>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</si>
  <si>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</si>
  <si>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Drenthe</t>
  </si>
  <si>
    <t>Flevoland</t>
  </si>
  <si>
    <t>Friesland</t>
  </si>
  <si>
    <t>Gelderland</t>
  </si>
  <si>
    <t>Groningen</t>
  </si>
  <si>
    <t>Limburg (NL)</t>
  </si>
  <si>
    <t>Noord-Brabant</t>
  </si>
  <si>
    <t>Noord-Holland</t>
  </si>
  <si>
    <t>Overijssel</t>
  </si>
  <si>
    <t>Utrecht</t>
  </si>
  <si>
    <t>Zeeland</t>
  </si>
  <si>
    <t>Zuid-Holland</t>
  </si>
  <si>
    <t>Akershus</t>
  </si>
  <si>
    <t>Aust-Agder</t>
  </si>
  <si>
    <t>Buskerud</t>
  </si>
  <si>
    <t>Finnmark</t>
  </si>
  <si>
    <t>Hedmark</t>
  </si>
  <si>
    <t>Hordaland</t>
  </si>
  <si>
    <t>More og Romsdal</t>
  </si>
  <si>
    <t>Nord-Trondelag</t>
  </si>
  <si>
    <t>Nordland</t>
  </si>
  <si>
    <t>Oppland</t>
  </si>
  <si>
    <t>Oslo</t>
  </si>
  <si>
    <t>Ostfold</t>
  </si>
  <si>
    <t>Rogaland</t>
  </si>
  <si>
    <t>Sogn og Fjordane</t>
  </si>
  <si>
    <t>Sor-Trondelag</t>
  </si>
  <si>
    <t>Telemark</t>
  </si>
  <si>
    <t>Troms</t>
  </si>
  <si>
    <t>Vest-Agder</t>
  </si>
  <si>
    <t>Vestfold</t>
  </si>
  <si>
    <t>Far Western</t>
  </si>
  <si>
    <t>Mid-western</t>
  </si>
  <si>
    <t>Auckland Region</t>
  </si>
  <si>
    <t>Bay of Plenty Region</t>
  </si>
  <si>
    <t>Canterbury Region</t>
  </si>
  <si>
    <t>Gisborne Region</t>
  </si>
  <si>
    <t>Hawke's Bay Region</t>
  </si>
  <si>
    <t>Manawatu-Wanganui Region</t>
  </si>
  <si>
    <t>Northland Region</t>
  </si>
  <si>
    <t>Otago Region</t>
  </si>
  <si>
    <t>Southland Region</t>
  </si>
  <si>
    <t>Taranaki Region</t>
  </si>
  <si>
    <t>Waikato Region</t>
  </si>
  <si>
    <t>Wellington Region</t>
  </si>
  <si>
    <t>West Coast Region</t>
  </si>
  <si>
    <t>Balochistan</t>
  </si>
  <si>
    <t>NWFP</t>
  </si>
  <si>
    <t>Sindh</t>
  </si>
  <si>
    <t>Bocas del Toro</t>
  </si>
  <si>
    <t>Chiriquí</t>
  </si>
  <si>
    <t>Coclé</t>
  </si>
  <si>
    <t>Colón</t>
  </si>
  <si>
    <t>Darién</t>
  </si>
  <si>
    <t>Herrera</t>
  </si>
  <si>
    <t>Los Santos</t>
  </si>
  <si>
    <t>Panamá</t>
  </si>
  <si>
    <t>Veraguas</t>
  </si>
  <si>
    <t>Ancash</t>
  </si>
  <si>
    <t>Apurímac</t>
  </si>
  <si>
    <t>Arequipa</t>
  </si>
  <si>
    <t>Ayacucho</t>
  </si>
  <si>
    <t>Cajamarca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</si>
  <si>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</si>
  <si>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</si>
  <si>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</si>
  <si>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</si>
  <si>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</si>
  <si>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</si>
  <si>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</si>
  <si>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</si>
  <si>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</si>
  <si>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</si>
  <si>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</si>
  <si>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</si>
  <si>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</si>
  <si>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</si>
  <si>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</si>
  <si>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</si>
  <si>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</si>
  <si>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</si>
  <si>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Bicol</t>
  </si>
  <si>
    <t>Cagayan Valley</t>
  </si>
  <si>
    <t>Calabarzon</t>
  </si>
  <si>
    <t>Caraga</t>
  </si>
  <si>
    <t>Central Luzon</t>
  </si>
  <si>
    <t>Central Visayas</t>
  </si>
  <si>
    <t>Cordillera</t>
  </si>
  <si>
    <t>Davao</t>
  </si>
  <si>
    <t>Eastern Visayas</t>
  </si>
  <si>
    <t>Ilocos</t>
  </si>
  <si>
    <t>Metro Manila</t>
  </si>
  <si>
    <t>Mimaropa</t>
  </si>
  <si>
    <t>Muslim Mindanao</t>
  </si>
  <si>
    <t>Northern Mindanao</t>
  </si>
  <si>
    <t>Soccsksargen</t>
  </si>
  <si>
    <t>Western Visayas</t>
  </si>
  <si>
    <t>Zamboanga Peninsula</t>
  </si>
  <si>
    <t>Dolnoslaskie</t>
  </si>
  <si>
    <t>Kujawsko-Pomorskie</t>
  </si>
  <si>
    <t>Lodzkie</t>
  </si>
  <si>
    <t>Lubelskie</t>
  </si>
  <si>
    <t>Lubuskie</t>
  </si>
  <si>
    <t>Malopolskie</t>
  </si>
  <si>
    <t>Mazowieckie</t>
  </si>
  <si>
    <t>Opolskie</t>
  </si>
  <si>
    <t>Podkarpackie</t>
  </si>
  <si>
    <t>Podlaskie</t>
  </si>
  <si>
    <t>Pomorskie</t>
  </si>
  <si>
    <t>Slaskie</t>
  </si>
  <si>
    <t>Swietokrzyskie</t>
  </si>
  <si>
    <t>Warminsko-Mazurskie</t>
  </si>
  <si>
    <t>Wielkopolskie</t>
  </si>
  <si>
    <t>Zachodniopomorskie</t>
  </si>
  <si>
    <t>Acores</t>
  </si>
  <si>
    <t>Alentejo</t>
  </si>
  <si>
    <t>Algarve</t>
  </si>
  <si>
    <t>Centro</t>
  </si>
  <si>
    <t>Lisboa</t>
  </si>
  <si>
    <t>Madeira</t>
  </si>
  <si>
    <t>Norte</t>
  </si>
  <si>
    <t>Asuncion</t>
  </si>
  <si>
    <t>Bucuresti - Ilfov</t>
  </si>
  <si>
    <t>Centru</t>
  </si>
  <si>
    <t>Nord-Est</t>
  </si>
  <si>
    <t>Nord-Vest</t>
  </si>
  <si>
    <t>Sud - Muntenia</t>
  </si>
  <si>
    <t>Sud-Est</t>
  </si>
  <si>
    <t>Sud-Vest Oltenia</t>
  </si>
  <si>
    <t>Vest</t>
  </si>
  <si>
    <t>Adygeya Republic</t>
  </si>
  <si>
    <t>Altai Krai</t>
  </si>
  <si>
    <t>Altai Republic</t>
  </si>
  <si>
    <t>Amur Region</t>
  </si>
  <si>
    <t>Arkhangelsk Region</t>
  </si>
  <si>
    <t>Astrakhan Region</t>
  </si>
  <si>
    <t>Belgorod Region</t>
  </si>
  <si>
    <t>Bryansk Region</t>
  </si>
  <si>
    <t>Chechen Republic</t>
  </si>
  <si>
    <t>Chelyabinsk region</t>
  </si>
  <si>
    <t>Chita Region</t>
  </si>
  <si>
    <t>Chukotka Autonomous District</t>
  </si>
  <si>
    <t>Chuvash Republic</t>
  </si>
  <si>
    <t>Dagestan Republic</t>
  </si>
  <si>
    <t>Irkutsk Region</t>
  </si>
  <si>
    <t>Ivanovo Region</t>
  </si>
  <si>
    <t>Jewish Autonomous Region</t>
  </si>
  <si>
    <t>Kabardino-Balkar Republic</t>
  </si>
  <si>
    <t>Kaliningrad Oblast</t>
  </si>
  <si>
    <t>Kaluga Region</t>
  </si>
  <si>
    <t>Kamchatka Region</t>
  </si>
  <si>
    <t>Karachay-Cherkessia Republic</t>
  </si>
  <si>
    <t>Kemerovo Region</t>
  </si>
  <si>
    <t>Khabarovsk Krai</t>
  </si>
  <si>
    <t>Kirov Region</t>
  </si>
  <si>
    <t>Komi Republic</t>
  </si>
  <si>
    <t>Kostroma region</t>
  </si>
  <si>
    <t>Krasnodar</t>
  </si>
  <si>
    <t>Krasnoyarsk Krai</t>
  </si>
  <si>
    <t>Kurgan Region</t>
  </si>
  <si>
    <t>Kursk Region</t>
  </si>
  <si>
    <t>Leningrad Region</t>
  </si>
  <si>
    <t>Lipetsk Region</t>
  </si>
  <si>
    <t>Magadan Region</t>
  </si>
  <si>
    <t>Moscow</t>
  </si>
  <si>
    <t>Moscow Region</t>
  </si>
  <si>
    <t>Murmansk region</t>
  </si>
  <si>
    <t>Nizhny Novgorod Region</t>
  </si>
  <si>
    <t>Novgorod Region</t>
  </si>
  <si>
    <t>Novosibirsk Region</t>
  </si>
  <si>
    <t>Omsk Region</t>
  </si>
  <si>
    <t>Orel Region</t>
  </si>
  <si>
    <t>Orenburgskaya</t>
  </si>
  <si>
    <t>Penza Region</t>
  </si>
  <si>
    <t>Perm Region</t>
  </si>
  <si>
    <t>Primorsky Krai</t>
  </si>
  <si>
    <t>Pskov region</t>
  </si>
  <si>
    <t>Republic of Bashkortostan</t>
  </si>
  <si>
    <t>Republic of Buryatia</t>
  </si>
  <si>
    <t>Republic of Ingushetia</t>
  </si>
  <si>
    <t>Republic of Kalmykia</t>
  </si>
  <si>
    <t>Republic of Karelia</t>
  </si>
  <si>
    <t>Republic of Khakassia</t>
  </si>
  <si>
    <t>Republic of Mordovia</t>
  </si>
  <si>
    <t>Republic of North Ossetia - Alania</t>
  </si>
  <si>
    <t>Rostov Region</t>
  </si>
  <si>
    <t>Ryazan Region</t>
  </si>
  <si>
    <t>Sakhalin Oblast</t>
  </si>
  <si>
    <t>Samara Region</t>
  </si>
  <si>
    <t>Saratov Region</t>
  </si>
  <si>
    <t>Smolensk Region</t>
  </si>
  <si>
    <t>St. Petersburg</t>
  </si>
  <si>
    <t>Stavropol Territory</t>
  </si>
  <si>
    <t>Sverdlovsk Region</t>
  </si>
  <si>
    <t>Tambov Region</t>
  </si>
  <si>
    <t>The Republic of Mari El</t>
  </si>
  <si>
    <t>The Republic of Sakha (Yakutia)</t>
  </si>
  <si>
    <t>The Republic of Tatarstan</t>
  </si>
  <si>
    <t>Tomsk Region</t>
  </si>
  <si>
    <t>Tula Region</t>
  </si>
  <si>
    <t>Tuva Republic</t>
  </si>
  <si>
    <t>Tver Region</t>
  </si>
  <si>
    <t>Tyumen Region</t>
  </si>
  <si>
    <t>Udmurt Republic</t>
  </si>
  <si>
    <t>Ulyanovsk Region</t>
  </si>
  <si>
    <t>Vladimir Region</t>
  </si>
  <si>
    <t>Volgograd Region</t>
  </si>
  <si>
    <t>Vologda Region</t>
  </si>
  <si>
    <t>Voronezh Region</t>
  </si>
  <si>
    <t>Yaroslavl Region</t>
  </si>
  <si>
    <t>Dakar</t>
  </si>
  <si>
    <t>Diourbel</t>
  </si>
  <si>
    <t>Kaolack</t>
  </si>
  <si>
    <t>Saint Louis</t>
  </si>
  <si>
    <t>Thies</t>
  </si>
  <si>
    <t>Ahuachapán</t>
  </si>
  <si>
    <t>Cabañas</t>
  </si>
  <si>
    <t>Chalatenango</t>
  </si>
  <si>
    <t>Cuscatlán</t>
  </si>
  <si>
    <t>La Paz</t>
  </si>
  <si>
    <t>La Unión</t>
  </si>
  <si>
    <t>Morazán</t>
  </si>
  <si>
    <t>San Miguel</t>
  </si>
  <si>
    <t>San Salvador</t>
  </si>
  <si>
    <t>San Vicente</t>
  </si>
  <si>
    <t>Santa Ana</t>
  </si>
  <si>
    <t>Sonsonate</t>
  </si>
  <si>
    <t>Usulután</t>
  </si>
  <si>
    <t>Central Serbia</t>
  </si>
  <si>
    <t>Vojvodina</t>
  </si>
  <si>
    <t>Osrednjeslovenska</t>
  </si>
  <si>
    <t>Mellersta Norrland</t>
  </si>
  <si>
    <t>Norra Mellansverige</t>
  </si>
  <si>
    <t>Oestra Mellansverige</t>
  </si>
  <si>
    <t>Oevre Norrland</t>
  </si>
  <si>
    <t>Smaaland Med Oearna</t>
  </si>
  <si>
    <t>Stockholm</t>
  </si>
  <si>
    <t>Sydsverige</t>
  </si>
  <si>
    <t>Vaestsverige</t>
  </si>
  <si>
    <t>Aleppo</t>
  </si>
  <si>
    <t>Damascus</t>
  </si>
  <si>
    <t>Deir Al-Zour</t>
  </si>
  <si>
    <t>Hama</t>
  </si>
  <si>
    <t>Hasakeh</t>
  </si>
  <si>
    <t>Homs</t>
  </si>
  <si>
    <t>Idlib</t>
  </si>
  <si>
    <t>Lattakia</t>
  </si>
  <si>
    <t>Quneitra</t>
  </si>
  <si>
    <t>Raqqah</t>
  </si>
  <si>
    <t>Rural Damascus</t>
  </si>
  <si>
    <t>Shield</t>
  </si>
  <si>
    <t>Swaida</t>
  </si>
  <si>
    <t>Tartus</t>
  </si>
  <si>
    <t>Bangkok</t>
  </si>
  <si>
    <t>Aegean</t>
  </si>
  <si>
    <t>Central Anatolia</t>
  </si>
  <si>
    <t>East Black Sea</t>
  </si>
  <si>
    <t>East Marmara</t>
  </si>
  <si>
    <t>Istanbul</t>
  </si>
  <si>
    <t>Meditterranean</t>
  </si>
  <si>
    <t>Middle East Anatolia</t>
  </si>
  <si>
    <t>Northeast Anatolia</t>
  </si>
  <si>
    <t>Southeast Anatolia</t>
  </si>
  <si>
    <t>West Black Sae</t>
  </si>
  <si>
    <t>West Marmara</t>
  </si>
  <si>
    <t>Arusha</t>
  </si>
  <si>
    <t>Dar -es salaam</t>
  </si>
  <si>
    <t>Dodoma</t>
  </si>
  <si>
    <t>Iringa</t>
  </si>
  <si>
    <t>Kagera</t>
  </si>
  <si>
    <t>Kigoma</t>
  </si>
  <si>
    <t>Kilimanjaro</t>
  </si>
  <si>
    <t>Lindi</t>
  </si>
  <si>
    <t>Manyara</t>
  </si>
  <si>
    <t>Mara</t>
  </si>
  <si>
    <t>Mbeya</t>
  </si>
  <si>
    <t>Morogoro</t>
  </si>
  <si>
    <t>Mtwara</t>
  </si>
  <si>
    <t>Mwanza</t>
  </si>
  <si>
    <t>Pwani</t>
  </si>
  <si>
    <t>Rukwa</t>
  </si>
  <si>
    <t>Ruvuma</t>
  </si>
  <si>
    <t>Shinyanga</t>
  </si>
  <si>
    <t>Singida</t>
  </si>
  <si>
    <t>Tabora</t>
  </si>
  <si>
    <t>Tanga</t>
  </si>
  <si>
    <t>Cherkasy</t>
  </si>
  <si>
    <t>Chernihiv</t>
  </si>
  <si>
    <t>Chernivtsi</t>
  </si>
  <si>
    <t>Dnipropetrovsk</t>
  </si>
  <si>
    <t>Donetsk</t>
  </si>
  <si>
    <t>Ivano-Frankivsk</t>
  </si>
  <si>
    <t>Kharkiv</t>
  </si>
  <si>
    <t>Kherson</t>
  </si>
  <si>
    <t>Khmelnytskiy</t>
  </si>
  <si>
    <t>Kirovohrad</t>
  </si>
  <si>
    <t>Kyiv</t>
  </si>
  <si>
    <t>Kyiv city</t>
  </si>
  <si>
    <t>Luhansk</t>
  </si>
  <si>
    <t>Lviv</t>
  </si>
  <si>
    <t>Mykolayiv</t>
  </si>
  <si>
    <t>Odesa</t>
  </si>
  <si>
    <t>Poltava</t>
  </si>
  <si>
    <t>Rivne</t>
  </si>
  <si>
    <t>Sevastopol</t>
  </si>
  <si>
    <t>Sumy</t>
  </si>
  <si>
    <t>Ternopil</t>
  </si>
  <si>
    <t>Vinnytsya</t>
  </si>
  <si>
    <t>Volyn</t>
  </si>
  <si>
    <t>Zakarpattya</t>
  </si>
  <si>
    <t>Zaporizhzhya</t>
  </si>
  <si>
    <t>Zhytomyr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</si>
  <si>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</si>
  <si>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</si>
  <si>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</si>
  <si>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</si>
  <si>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</si>
  <si>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</si>
  <si>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</si>
  <si>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</si>
  <si>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</si>
  <si>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</si>
  <si>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</si>
  <si>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</si>
  <si>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</si>
  <si>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</si>
  <si>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</si>
  <si>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</si>
  <si>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</si>
  <si>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</si>
  <si>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</si>
  <si>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</si>
  <si>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</si>
  <si>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</si>
  <si>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</si>
  <si>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</si>
  <si>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</si>
  <si>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</si>
  <si>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</si>
  <si>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</si>
  <si>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</si>
  <si>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</si>
  <si>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</si>
  <si>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</si>
  <si>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</si>
  <si>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</si>
  <si>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</si>
  <si>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</si>
  <si>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</si>
  <si>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</si>
  <si>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</si>
  <si>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</si>
  <si>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</si>
  <si>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</si>
  <si>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</si>
  <si>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</si>
  <si>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</si>
  <si>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</si>
  <si>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</si>
  <si>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</si>
  <si>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</si>
  <si>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</si>
  <si>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Central Highland</t>
  </si>
  <si>
    <t>Mekong River Delta</t>
  </si>
  <si>
    <t>North Central Coast</t>
  </si>
  <si>
    <t>North West</t>
  </si>
  <si>
    <t>Red River Delta</t>
  </si>
  <si>
    <t>South Central Coast</t>
  </si>
  <si>
    <t>(0.0220)</t>
  </si>
  <si>
    <r>
      <t>0.2936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</si>
  <si>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0.1205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</si>
  <si>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0.3372</t>
    </r>
    <r>
      <rPr>
        <vertAlign val="superscript"/>
        <sz val="11"/>
        <color theme="1"/>
        <rFont val="Calibri"/>
        <family val="2"/>
        <scheme val="minor"/>
      </rPr>
      <t>a</t>
    </r>
  </si>
  <si>
    <t>Years of education</t>
  </si>
  <si>
    <t>Online Appendix Table 1:  Value Added and Employment of Informal and Formal Firms</t>
  </si>
  <si>
    <t>Table 2.  Obstacles to Doing Business</t>
  </si>
  <si>
    <t>Table 3:  Regional Human Capital, the size of establishments, and participation in the economy</t>
  </si>
  <si>
    <t>Online Appendix Table 2: Costs and benefits of registering</t>
  </si>
  <si>
    <r>
      <t>-7.1482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</si>
  <si>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10.6441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</si>
  <si>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-0.2566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</si>
  <si>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ln(Labor force</t>
    </r>
    <r>
      <rPr>
        <vertAlign val="subscript"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/ Labor force</t>
    </r>
    <r>
      <rPr>
        <vertAlign val="subscript"/>
        <sz val="11"/>
        <color theme="1"/>
        <rFont val="Times New Roman"/>
        <family val="1"/>
      </rPr>
      <t>t-1</t>
    </r>
    <r>
      <rPr>
        <sz val="11"/>
        <color theme="1"/>
        <rFont val="Times New Roman"/>
        <family val="1"/>
      </rPr>
      <t>)</t>
    </r>
  </si>
  <si>
    <r>
      <t>ln(GDP per capita</t>
    </r>
    <r>
      <rPr>
        <vertAlign val="subscript"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/ GDP per capita</t>
    </r>
    <r>
      <rPr>
        <vertAlign val="subscript"/>
        <sz val="11"/>
        <color theme="1"/>
        <rFont val="Times New Roman"/>
        <family val="1"/>
      </rPr>
      <t>t-1</t>
    </r>
    <r>
      <rPr>
        <sz val="11"/>
        <color theme="1"/>
        <rFont val="Times New Roman"/>
        <family val="1"/>
      </rPr>
      <t>)</t>
    </r>
  </si>
  <si>
    <t>Online Appendix:  Figure 5 Regression</t>
  </si>
  <si>
    <t>Dependent Variable is Change in self-employment</t>
  </si>
  <si>
    <t>Value added and employment</t>
  </si>
  <si>
    <t>Costs and benefits of registering</t>
  </si>
  <si>
    <t>Figure 5 regression</t>
  </si>
  <si>
    <t>Index</t>
  </si>
  <si>
    <t>Data Table 1</t>
  </si>
  <si>
    <t>Data Table 3</t>
  </si>
  <si>
    <t>Data Figures 1-3</t>
  </si>
  <si>
    <t>Data Figure 4</t>
  </si>
  <si>
    <t>Data Figure 5</t>
  </si>
  <si>
    <t>Data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</si>
</sst>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#,##0.0"/>
    <numFmt numFmtId="167" formatCode="[$PEN]\ #,##0.00"/>
    <numFmt numFmtId="168" formatCode="\$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indexed="8"/>
      <name val="Verdana"/>
      <family val="2"/>
    </font>
    <font>
      <vertAlign val="superscript"/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1" fontId="26" fillId="35" borderId="13">
      <alignment horizontal="right" vertical="center"/>
    </xf>
    <xf numFmtId="0" fontId="26" fillId="36" borderId="13">
      <alignment horizontal="center" vertical="center"/>
    </xf>
    <xf numFmtId="1" fontId="26" fillId="35" borderId="13">
      <alignment horizontal="right" vertical="center"/>
    </xf>
    <xf numFmtId="0" fontId="23" fillId="35" borderId="0"/>
    <xf numFmtId="43" fontId="23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1" fillId="8" borderId="8" applyNumberFormat="0" applyFont="0" applyAlignment="0" applyProtection="0"/>
  </cellStyleXfs>
  <cellXfs count="19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2" fontId="0" fillId="0" borderId="12" xfId="0" applyNumberForma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11" fontId="0" fillId="0" borderId="0" xfId="0" applyNumberFormat="1"/>
    <xf numFmtId="2" fontId="0" fillId="0" borderId="0" xfId="0" applyNumberFormat="1" applyAlignment="1">
      <alignment horizontal="center"/>
    </xf>
    <xf numFmtId="0" fontId="0" fillId="33" borderId="0" xfId="0" applyFill="1"/>
    <xf numFmtId="164" fontId="0" fillId="33" borderId="0" xfId="0" applyNumberFormat="1" applyFill="1" applyAlignment="1">
      <alignment horizontal="center"/>
    </xf>
    <xf numFmtId="0" fontId="0" fillId="33" borderId="10" xfId="0" applyFill="1" applyBorder="1"/>
    <xf numFmtId="0" fontId="0" fillId="33" borderId="11" xfId="0" applyFill="1" applyBorder="1"/>
    <xf numFmtId="0" fontId="0" fillId="33" borderId="0" xfId="0" applyFill="1" applyBorder="1"/>
    <xf numFmtId="9" fontId="0" fillId="33" borderId="0" xfId="42" applyFont="1" applyFill="1" applyBorder="1" applyAlignment="1">
      <alignment horizontal="center"/>
    </xf>
    <xf numFmtId="0" fontId="0" fillId="33" borderId="12" xfId="0" applyFill="1" applyBorder="1"/>
    <xf numFmtId="0" fontId="0" fillId="33" borderId="0" xfId="0" applyFill="1" applyBorder="1" applyAlignment="1">
      <alignment horizontal="left" indent="1"/>
    </xf>
    <xf numFmtId="3" fontId="0" fillId="33" borderId="0" xfId="0" applyNumberFormat="1" applyFill="1" applyBorder="1" applyAlignment="1">
      <alignment horizontal="center"/>
    </xf>
    <xf numFmtId="165" fontId="0" fillId="33" borderId="0" xfId="42" applyNumberFormat="1" applyFont="1" applyFill="1" applyBorder="1" applyAlignment="1">
      <alignment horizontal="center"/>
    </xf>
    <xf numFmtId="164" fontId="0" fillId="33" borderId="0" xfId="42" applyNumberFormat="1" applyFont="1" applyFill="1" applyBorder="1" applyAlignment="1">
      <alignment horizontal="center"/>
    </xf>
    <xf numFmtId="165" fontId="0" fillId="33" borderId="0" xfId="0" applyNumberFormat="1" applyFill="1" applyBorder="1" applyAlignment="1">
      <alignment horizontal="center"/>
    </xf>
    <xf numFmtId="3" fontId="0" fillId="33" borderId="0" xfId="42" applyNumberFormat="1" applyFont="1" applyFill="1" applyBorder="1" applyAlignment="1">
      <alignment horizontal="center"/>
    </xf>
    <xf numFmtId="0" fontId="0" fillId="33" borderId="0" xfId="0" applyFill="1" applyAlignment="1">
      <alignment horizontal="center" vertical="center"/>
    </xf>
    <xf numFmtId="0" fontId="0" fillId="33" borderId="10" xfId="0" applyFill="1" applyBorder="1" applyAlignment="1">
      <alignment horizontal="left"/>
    </xf>
    <xf numFmtId="0" fontId="0" fillId="33" borderId="11" xfId="0" applyFill="1" applyBorder="1" applyAlignment="1">
      <alignment horizontal="center" vertical="center"/>
    </xf>
    <xf numFmtId="0" fontId="0" fillId="33" borderId="0" xfId="0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3" fontId="0" fillId="33" borderId="10" xfId="0" applyNumberFormat="1" applyFill="1" applyBorder="1" applyAlignment="1">
      <alignment horizontal="center"/>
    </xf>
    <xf numFmtId="3" fontId="0" fillId="33" borderId="11" xfId="0" applyNumberFormat="1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33" borderId="12" xfId="0" applyNumberFormat="1" applyFill="1" applyBorder="1" applyAlignment="1">
      <alignment horizontal="center"/>
    </xf>
    <xf numFmtId="164" fontId="0" fillId="33" borderId="12" xfId="0" applyNumberFormat="1" applyFill="1" applyBorder="1" applyAlignment="1">
      <alignment horizontal="center"/>
    </xf>
    <xf numFmtId="2" fontId="0" fillId="33" borderId="0" xfId="0" applyNumberFormat="1" applyFill="1" applyBorder="1" applyAlignment="1">
      <alignment horizontal="center" vertical="center" wrapText="1"/>
    </xf>
    <xf numFmtId="0" fontId="0" fillId="33" borderId="0" xfId="0" applyFill="1" applyBorder="1" applyAlignment="1"/>
    <xf numFmtId="0" fontId="0" fillId="0" borderId="0" xfId="0" applyBorder="1" applyAlignment="1">
      <alignment vertical="center"/>
    </xf>
    <xf numFmtId="164" fontId="0" fillId="33" borderId="12" xfId="42" applyNumberFormat="1" applyFont="1" applyFill="1" applyBorder="1" applyAlignment="1">
      <alignment horizontal="center"/>
    </xf>
    <xf numFmtId="164" fontId="0" fillId="33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12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166" fontId="0" fillId="33" borderId="11" xfId="0" applyNumberFormat="1" applyFill="1" applyBorder="1" applyAlignment="1">
      <alignment horizontal="center"/>
    </xf>
    <xf numFmtId="166" fontId="0" fillId="0" borderId="0" xfId="0" applyNumberFormat="1"/>
    <xf numFmtId="0" fontId="0" fillId="33" borderId="10" xfId="0" applyFill="1" applyBorder="1" applyAlignment="1">
      <alignment vertical="center"/>
    </xf>
    <xf numFmtId="164" fontId="0" fillId="33" borderId="10" xfId="0" applyNumberFormat="1" applyFont="1" applyFill="1" applyBorder="1" applyAlignment="1">
      <alignment horizontal="center" vertical="center" wrapText="1"/>
    </xf>
    <xf numFmtId="165" fontId="0" fillId="33" borderId="12" xfId="42" applyNumberFormat="1" applyFont="1" applyFill="1" applyBorder="1" applyAlignment="1">
      <alignment horizontal="center"/>
    </xf>
    <xf numFmtId="0" fontId="0" fillId="33" borderId="12" xfId="0" applyFill="1" applyBorder="1" applyAlignment="1">
      <alignment horizontal="center" vertical="center"/>
    </xf>
    <xf numFmtId="2" fontId="0" fillId="33" borderId="11" xfId="0" applyNumberFormat="1" applyFill="1" applyBorder="1" applyAlignment="1">
      <alignment horizontal="center" vertical="center" wrapText="1"/>
    </xf>
    <xf numFmtId="2" fontId="0" fillId="33" borderId="12" xfId="0" applyNumberFormat="1" applyFill="1" applyBorder="1" applyAlignment="1">
      <alignment horizontal="center" vertical="center" wrapText="1"/>
    </xf>
    <xf numFmtId="3" fontId="0" fillId="33" borderId="0" xfId="0" quotePrefix="1" applyNumberFormat="1" applyFill="1" applyBorder="1" applyAlignment="1">
      <alignment horizontal="center"/>
    </xf>
    <xf numFmtId="166" fontId="0" fillId="33" borderId="0" xfId="0" quotePrefix="1" applyNumberFormat="1" applyFill="1" applyBorder="1" applyAlignment="1">
      <alignment horizontal="center"/>
    </xf>
    <xf numFmtId="165" fontId="0" fillId="33" borderId="0" xfId="42" applyNumberFormat="1" applyFont="1" applyFill="1" applyBorder="1" applyAlignment="1">
      <alignment horizontal="right"/>
    </xf>
    <xf numFmtId="0" fontId="0" fillId="33" borderId="0" xfId="0" applyFill="1" applyAlignment="1">
      <alignment horizontal="right"/>
    </xf>
    <xf numFmtId="0" fontId="0" fillId="33" borderId="0" xfId="0" applyFill="1" applyBorder="1" applyAlignment="1">
      <alignment horizontal="right"/>
    </xf>
    <xf numFmtId="0" fontId="0" fillId="33" borderId="12" xfId="0" applyFill="1" applyBorder="1" applyAlignment="1">
      <alignment horizontal="left" indent="1"/>
    </xf>
    <xf numFmtId="9" fontId="0" fillId="33" borderId="12" xfId="42" applyFont="1" applyFill="1" applyBorder="1" applyAlignment="1">
      <alignment horizontal="center"/>
    </xf>
    <xf numFmtId="165" fontId="0" fillId="33" borderId="12" xfId="42" applyNumberFormat="1" applyFont="1" applyFill="1" applyBorder="1" applyAlignment="1">
      <alignment horizontal="right"/>
    </xf>
    <xf numFmtId="9" fontId="0" fillId="33" borderId="11" xfId="42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3" borderId="0" xfId="0" applyFill="1" applyAlignment="1">
      <alignment horizontal="center"/>
    </xf>
    <xf numFmtId="0" fontId="23" fillId="0" borderId="0" xfId="43"/>
    <xf numFmtId="0" fontId="0" fillId="34" borderId="0" xfId="0" applyFill="1" applyBorder="1" applyAlignment="1">
      <alignment horizontal="left"/>
    </xf>
    <xf numFmtId="0" fontId="0" fillId="34" borderId="12" xfId="0" applyFill="1" applyBorder="1" applyAlignment="1">
      <alignment horizontal="left"/>
    </xf>
    <xf numFmtId="0" fontId="0" fillId="34" borderId="11" xfId="0" applyFill="1" applyBorder="1" applyAlignment="1">
      <alignment horizontal="left"/>
    </xf>
    <xf numFmtId="0" fontId="23" fillId="0" borderId="0" xfId="43" applyBorder="1" applyAlignment="1">
      <alignment horizontal="center"/>
    </xf>
    <xf numFmtId="0" fontId="23" fillId="33" borderId="0" xfId="43" applyFill="1" applyBorder="1" applyAlignment="1">
      <alignment horizontal="left"/>
    </xf>
    <xf numFmtId="9" fontId="23" fillId="33" borderId="0" xfId="43" applyNumberFormat="1" applyFill="1" applyAlignment="1">
      <alignment horizontal="center"/>
    </xf>
    <xf numFmtId="0" fontId="23" fillId="33" borderId="11" xfId="43" applyFill="1" applyBorder="1" applyAlignment="1">
      <alignment horizontal="left"/>
    </xf>
    <xf numFmtId="9" fontId="0" fillId="33" borderId="11" xfId="0" applyNumberFormat="1" applyFill="1" applyBorder="1" applyAlignment="1">
      <alignment horizontal="center"/>
    </xf>
    <xf numFmtId="0" fontId="18" fillId="33" borderId="11" xfId="0" applyFont="1" applyFill="1" applyBorder="1" applyAlignment="1">
      <alignment horizontal="left"/>
    </xf>
    <xf numFmtId="2" fontId="0" fillId="33" borderId="11" xfId="42" applyNumberFormat="1" applyFont="1" applyFill="1" applyBorder="1" applyAlignment="1">
      <alignment horizontal="center"/>
    </xf>
    <xf numFmtId="2" fontId="19" fillId="33" borderId="11" xfId="42" applyNumberFormat="1" applyFont="1" applyFill="1" applyBorder="1" applyAlignment="1">
      <alignment horizontal="center"/>
    </xf>
    <xf numFmtId="2" fontId="0" fillId="33" borderId="11" xfId="42" applyNumberFormat="1" applyFont="1" applyFill="1" applyBorder="1" applyAlignment="1">
      <alignment horizontal="right"/>
    </xf>
    <xf numFmtId="2" fontId="19" fillId="33" borderId="0" xfId="42" applyNumberFormat="1" applyFont="1" applyFill="1" applyBorder="1" applyAlignment="1">
      <alignment horizontal="center"/>
    </xf>
    <xf numFmtId="165" fontId="19" fillId="33" borderId="0" xfId="42" applyNumberFormat="1" applyFont="1" applyFill="1" applyBorder="1" applyAlignment="1">
      <alignment horizontal="center"/>
    </xf>
    <xf numFmtId="2" fontId="19" fillId="33" borderId="0" xfId="0" applyNumberFormat="1" applyFont="1" applyFill="1" applyBorder="1" applyAlignment="1">
      <alignment horizontal="center"/>
    </xf>
    <xf numFmtId="165" fontId="19" fillId="33" borderId="0" xfId="0" applyNumberFormat="1" applyFont="1" applyFill="1" applyBorder="1" applyAlignment="1">
      <alignment horizontal="center"/>
    </xf>
    <xf numFmtId="165" fontId="0" fillId="33" borderId="0" xfId="0" applyNumberFormat="1" applyFill="1" applyBorder="1"/>
    <xf numFmtId="165" fontId="0" fillId="33" borderId="0" xfId="42" applyNumberFormat="1" applyFont="1" applyFill="1" applyBorder="1" applyAlignment="1"/>
    <xf numFmtId="0" fontId="0" fillId="0" borderId="0" xfId="0" applyAlignment="1">
      <alignment horizontal="center"/>
    </xf>
    <xf numFmtId="0" fontId="16" fillId="33" borderId="0" xfId="0" applyFont="1" applyFill="1" applyAlignment="1">
      <alignment horizontal="center"/>
    </xf>
    <xf numFmtId="164" fontId="0" fillId="33" borderId="10" xfId="0" applyNumberFormat="1" applyFill="1" applyBorder="1" applyAlignment="1">
      <alignment horizontal="center" vertical="center" wrapText="1"/>
    </xf>
    <xf numFmtId="164" fontId="0" fillId="33" borderId="0" xfId="0" applyNumberFormat="1" applyFill="1" applyBorder="1" applyAlignment="1">
      <alignment horizontal="center" vertical="center" wrapText="1"/>
    </xf>
    <xf numFmtId="0" fontId="0" fillId="33" borderId="0" xfId="0" applyFill="1" applyBorder="1" applyAlignment="1">
      <alignment horizontal="center"/>
    </xf>
    <xf numFmtId="165" fontId="0" fillId="33" borderId="12" xfId="0" applyNumberFormat="1" applyFill="1" applyBorder="1" applyAlignment="1">
      <alignment horizontal="center"/>
    </xf>
    <xf numFmtId="164" fontId="19" fillId="33" borderId="0" xfId="0" applyNumberFormat="1" applyFont="1" applyFill="1" applyBorder="1" applyAlignment="1"/>
    <xf numFmtId="165" fontId="0" fillId="33" borderId="12" xfId="0" applyNumberFormat="1" applyFill="1" applyBorder="1"/>
    <xf numFmtId="0" fontId="0" fillId="33" borderId="0" xfId="0" applyFill="1" applyAlignment="1">
      <alignment horizontal="center"/>
    </xf>
    <xf numFmtId="0" fontId="0" fillId="33" borderId="12" xfId="0" applyFill="1" applyBorder="1" applyAlignment="1">
      <alignment horizontal="center"/>
    </xf>
    <xf numFmtId="164" fontId="0" fillId="33" borderId="12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164" fontId="19" fillId="33" borderId="12" xfId="0" applyNumberFormat="1" applyFont="1" applyFill="1" applyBorder="1" applyAlignment="1"/>
    <xf numFmtId="2" fontId="19" fillId="33" borderId="10" xfId="42" applyNumberFormat="1" applyFont="1" applyFill="1" applyBorder="1" applyAlignment="1">
      <alignment horizontal="center"/>
    </xf>
    <xf numFmtId="0" fontId="0" fillId="33" borderId="11" xfId="0" applyNumberFormat="1" applyFill="1" applyBorder="1" applyAlignment="1">
      <alignment horizontal="center"/>
    </xf>
    <xf numFmtId="0" fontId="25" fillId="33" borderId="0" xfId="0" applyFont="1" applyFill="1" applyAlignment="1">
      <alignment vertical="center"/>
    </xf>
    <xf numFmtId="164" fontId="0" fillId="33" borderId="11" xfId="0" applyNumberFormat="1" applyFill="1" applyBorder="1" applyAlignment="1">
      <alignment horizontal="center" vertical="center" wrapText="1"/>
    </xf>
    <xf numFmtId="164" fontId="0" fillId="33" borderId="12" xfId="0" applyNumberFormat="1" applyFont="1" applyFill="1" applyBorder="1" applyAlignment="1">
      <alignment horizontal="center" vertical="center" wrapText="1"/>
    </xf>
    <xf numFmtId="2" fontId="19" fillId="33" borderId="12" xfId="42" applyNumberFormat="1" applyFont="1" applyFill="1" applyBorder="1" applyAlignment="1">
      <alignment horizontal="center"/>
    </xf>
    <xf numFmtId="0" fontId="16" fillId="33" borderId="0" xfId="0" applyFont="1" applyFill="1" applyAlignment="1">
      <alignment horizontal="right"/>
    </xf>
    <xf numFmtId="0" fontId="0" fillId="0" borderId="0" xfId="0" applyAlignment="1">
      <alignment horizontal="right"/>
    </xf>
    <xf numFmtId="10" fontId="23" fillId="0" borderId="0" xfId="43" applyNumberFormat="1" applyFont="1" applyAlignment="1">
      <alignment horizontal="center"/>
    </xf>
    <xf numFmtId="4" fontId="23" fillId="0" borderId="0" xfId="43" applyNumberFormat="1" applyFont="1" applyAlignment="1">
      <alignment horizontal="center"/>
    </xf>
    <xf numFmtId="0" fontId="23" fillId="0" borderId="0" xfId="43" applyFont="1"/>
    <xf numFmtId="0" fontId="23" fillId="0" borderId="0" xfId="43" applyFont="1" applyAlignment="1">
      <alignment horizontal="center"/>
    </xf>
    <xf numFmtId="4" fontId="23" fillId="0" borderId="0" xfId="43" applyNumberFormat="1" applyAlignment="1">
      <alignment horizontal="center"/>
    </xf>
    <xf numFmtId="10" fontId="23" fillId="0" borderId="0" xfId="43" applyNumberFormat="1" applyAlignment="1">
      <alignment horizontal="center"/>
    </xf>
    <xf numFmtId="3" fontId="23" fillId="0" borderId="0" xfId="43" applyNumberFormat="1" applyAlignment="1">
      <alignment horizontal="center"/>
    </xf>
    <xf numFmtId="167" fontId="23" fillId="0" borderId="0" xfId="43" applyNumberFormat="1" applyAlignment="1">
      <alignment horizontal="center"/>
    </xf>
    <xf numFmtId="168" fontId="23" fillId="0" borderId="0" xfId="43" applyNumberFormat="1" applyAlignment="1">
      <alignment horizontal="center"/>
    </xf>
    <xf numFmtId="11" fontId="23" fillId="0" borderId="0" xfId="43" applyNumberFormat="1"/>
    <xf numFmtId="0" fontId="23" fillId="0" borderId="0" xfId="43" applyNumberFormat="1" applyAlignment="1">
      <alignment horizont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12" xfId="0" applyFill="1" applyBorder="1" applyAlignment="1">
      <alignment horizontal="left" vertical="center"/>
    </xf>
    <xf numFmtId="0" fontId="0" fillId="33" borderId="0" xfId="0" applyFill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2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/>
    </xf>
    <xf numFmtId="9" fontId="0" fillId="33" borderId="0" xfId="42" applyFont="1" applyFill="1" applyAlignment="1">
      <alignment horizontal="center"/>
    </xf>
    <xf numFmtId="9" fontId="0" fillId="33" borderId="10" xfId="42" applyFont="1" applyFill="1" applyBorder="1" applyAlignment="1">
      <alignment horizontal="center"/>
    </xf>
    <xf numFmtId="0" fontId="0" fillId="33" borderId="11" xfId="0" applyFill="1" applyBorder="1" applyAlignment="1"/>
    <xf numFmtId="4" fontId="0" fillId="33" borderId="0" xfId="0" applyNumberFormat="1" applyFill="1" applyBorder="1" applyAlignment="1">
      <alignment horizontal="center"/>
    </xf>
    <xf numFmtId="4" fontId="0" fillId="33" borderId="12" xfId="0" applyNumberForma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164" fontId="0" fillId="33" borderId="10" xfId="0" applyNumberFormat="1" applyFill="1" applyBorder="1" applyAlignment="1">
      <alignment horizontal="center" vertical="center" wrapText="1"/>
    </xf>
    <xf numFmtId="166" fontId="0" fillId="33" borderId="0" xfId="42" applyNumberFormat="1" applyFont="1" applyFill="1" applyBorder="1" applyAlignment="1">
      <alignment horizontal="center"/>
    </xf>
    <xf numFmtId="166" fontId="0" fillId="33" borderId="0" xfId="0" applyNumberFormat="1" applyFill="1" applyAlignment="1">
      <alignment horizontal="center"/>
    </xf>
    <xf numFmtId="166" fontId="0" fillId="33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2" fontId="0" fillId="33" borderId="0" xfId="0" applyNumberFormat="1" applyFill="1" applyBorder="1" applyAlignment="1">
      <alignment horizontal="center" vertical="center" wrapText="1"/>
    </xf>
    <xf numFmtId="2" fontId="0" fillId="33" borderId="11" xfId="0" applyNumberFormat="1" applyFill="1" applyBorder="1" applyAlignment="1">
      <alignment horizontal="center" vertical="center" wrapText="1"/>
    </xf>
    <xf numFmtId="2" fontId="0" fillId="33" borderId="1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3" fillId="0" borderId="0" xfId="43" applyAlignment="1">
      <alignment horizontal="center"/>
    </xf>
    <xf numFmtId="4" fontId="0" fillId="33" borderId="11" xfId="4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3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9" fontId="0" fillId="0" borderId="12" xfId="42" applyFont="1" applyBorder="1" applyAlignment="1">
      <alignment horizontal="center"/>
    </xf>
    <xf numFmtId="0" fontId="28" fillId="0" borderId="0" xfId="0" applyFont="1"/>
    <xf numFmtId="0" fontId="0" fillId="33" borderId="0" xfId="0" applyFill="1" applyAlignment="1">
      <alignment horizontal="left" vertical="center"/>
    </xf>
    <xf numFmtId="0" fontId="0" fillId="33" borderId="12" xfId="0" applyFill="1" applyBorder="1" applyAlignment="1">
      <alignment horizontal="left" vertical="center"/>
    </xf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/>
    </xf>
    <xf numFmtId="164" fontId="0" fillId="33" borderId="12" xfId="0" applyNumberFormat="1" applyFill="1" applyBorder="1" applyAlignment="1">
      <alignment horizontal="center" vertical="center" wrapText="1"/>
    </xf>
    <xf numFmtId="164" fontId="0" fillId="33" borderId="11" xfId="0" applyNumberFormat="1" applyFill="1" applyBorder="1" applyAlignment="1">
      <alignment horizontal="center" vertical="center" wrapText="1"/>
    </xf>
    <xf numFmtId="164" fontId="0" fillId="33" borderId="10" xfId="0" applyNumberFormat="1" applyFill="1" applyBorder="1" applyAlignment="1">
      <alignment horizontal="center" vertical="center" wrapText="1"/>
    </xf>
    <xf numFmtId="164" fontId="0" fillId="33" borderId="0" xfId="0" applyNumberFormat="1" applyFill="1" applyBorder="1" applyAlignment="1">
      <alignment horizontal="center" vertical="center" wrapText="1"/>
    </xf>
    <xf numFmtId="0" fontId="0" fillId="33" borderId="0" xfId="0" applyFill="1" applyAlignment="1">
      <alignment horizontal="left" vertical="top" wrapText="1"/>
    </xf>
    <xf numFmtId="0" fontId="0" fillId="33" borderId="11" xfId="0" applyFill="1" applyBorder="1" applyAlignment="1">
      <alignment horizontal="center"/>
    </xf>
    <xf numFmtId="0" fontId="17" fillId="37" borderId="0" xfId="0" applyFont="1" applyFill="1" applyAlignment="1">
      <alignment horizontal="center"/>
    </xf>
    <xf numFmtId="0" fontId="0" fillId="33" borderId="0" xfId="0" applyFill="1" applyAlignme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1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lsAltData" xfId="111"/>
    <cellStyle name="clsColumnHeader" xfId="112"/>
    <cellStyle name="clsData" xfId="113"/>
    <cellStyle name="clsDefault_f15653cb-6dc5-4af0-b1bd-0329b339bef0(1)" xfId="114"/>
    <cellStyle name="Comma 2" xfId="11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116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3"/>
    <cellStyle name="Normal 11" xfId="44"/>
    <cellStyle name="Normal 12" xfId="45"/>
    <cellStyle name="Normal 13" xfId="46"/>
    <cellStyle name="Normal 14" xfId="47"/>
    <cellStyle name="Normal 15" xfId="48"/>
    <cellStyle name="Normal 16" xfId="49"/>
    <cellStyle name="Normal 17" xfId="50"/>
    <cellStyle name="Normal 18" xfId="51"/>
    <cellStyle name="Normal 19" xfId="52"/>
    <cellStyle name="Normal 2" xfId="53"/>
    <cellStyle name="Normal 20" xfId="54"/>
    <cellStyle name="Normal 21" xfId="55"/>
    <cellStyle name="Normal 22" xfId="56"/>
    <cellStyle name="Normal 23" xfId="57"/>
    <cellStyle name="Normal 24" xfId="58"/>
    <cellStyle name="Normal 25" xfId="59"/>
    <cellStyle name="Normal 26" xfId="60"/>
    <cellStyle name="Normal 27" xfId="61"/>
    <cellStyle name="Normal 28" xfId="62"/>
    <cellStyle name="Normal 29" xfId="63"/>
    <cellStyle name="Normal 3" xfId="64"/>
    <cellStyle name="Normal 30" xfId="65"/>
    <cellStyle name="Normal 31" xfId="66"/>
    <cellStyle name="Normal 32" xfId="67"/>
    <cellStyle name="Normal 33" xfId="68"/>
    <cellStyle name="Normal 34" xfId="69"/>
    <cellStyle name="Normal 35" xfId="70"/>
    <cellStyle name="Normal 36" xfId="71"/>
    <cellStyle name="Normal 37" xfId="72"/>
    <cellStyle name="Normal 38" xfId="73"/>
    <cellStyle name="Normal 39" xfId="74"/>
    <cellStyle name="Normal 4" xfId="75"/>
    <cellStyle name="Normal 40" xfId="76"/>
    <cellStyle name="Normal 41" xfId="77"/>
    <cellStyle name="Normal 42" xfId="78"/>
    <cellStyle name="Normal 43" xfId="79"/>
    <cellStyle name="Normal 44" xfId="80"/>
    <cellStyle name="Normal 45" xfId="81"/>
    <cellStyle name="Normal 46" xfId="82"/>
    <cellStyle name="Normal 47" xfId="83"/>
    <cellStyle name="Normal 48" xfId="84"/>
    <cellStyle name="Normal 49" xfId="85"/>
    <cellStyle name="Normal 5" xfId="86"/>
    <cellStyle name="Normal 50" xfId="87"/>
    <cellStyle name="Normal 51" xfId="88"/>
    <cellStyle name="Normal 52" xfId="89"/>
    <cellStyle name="Normal 53" xfId="90"/>
    <cellStyle name="Normal 54" xfId="91"/>
    <cellStyle name="Normal 55" xfId="92"/>
    <cellStyle name="Normal 56" xfId="93"/>
    <cellStyle name="Normal 57" xfId="94"/>
    <cellStyle name="Normal 58" xfId="95"/>
    <cellStyle name="Normal 59" xfId="96"/>
    <cellStyle name="Normal 6" xfId="97"/>
    <cellStyle name="Normal 60" xfId="98"/>
    <cellStyle name="Normal 61" xfId="99"/>
    <cellStyle name="Normal 62" xfId="100"/>
    <cellStyle name="Normal 63" xfId="101"/>
    <cellStyle name="Normal 64" xfId="102"/>
    <cellStyle name="Normal 65" xfId="103"/>
    <cellStyle name="Normal 66" xfId="104"/>
    <cellStyle name="Normal 67" xfId="105"/>
    <cellStyle name="Normal 68" xfId="106"/>
    <cellStyle name="Normal 69" xfId="110"/>
    <cellStyle name="Normal 7" xfId="107"/>
    <cellStyle name="Normal 8" xfId="108"/>
    <cellStyle name="Normal 9" xfId="109"/>
    <cellStyle name="Note" xfId="15" builtinId="10" customBuiltin="1"/>
    <cellStyle name="Note 2" xfId="118"/>
    <cellStyle name="Output" xfId="10" builtinId="21" customBuiltin="1"/>
    <cellStyle name="Percent" xfId="42" builtinId="5"/>
    <cellStyle name="Percent 2" xfId="117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D32"/>
  <sheetViews>
    <sheetView workbookViewId="0">
      <selection activeCell="A32" sqref="A32"/>
    </sheetView>
  </sheetViews>
  <sheetFormatPr defaultRowHeight="12.75" x14ac:dyDescent="0.2"/>
  <cols>
    <col min="1" max="16384" width="9.140625" style="74"/>
  </cols>
  <sheetData>
    <row r="1" spans="1:4" x14ac:dyDescent="0.2">
      <c r="A1" s="74" t="s">
        <v>2</v>
      </c>
      <c r="B1" s="74" t="s">
        <v>3</v>
      </c>
      <c r="C1" s="74" t="s">
        <v>1</v>
      </c>
      <c r="D1" s="74" t="s">
        <v>26</v>
      </c>
    </row>
    <row r="2" spans="1:4" x14ac:dyDescent="0.2">
      <c r="A2" s="74" t="s">
        <v>265</v>
      </c>
      <c r="B2" s="74">
        <v>2009</v>
      </c>
      <c r="D2" s="74">
        <v>9.5957446808510642</v>
      </c>
    </row>
    <row r="3" spans="1:4" x14ac:dyDescent="0.2">
      <c r="A3" s="74" t="s">
        <v>14</v>
      </c>
      <c r="B3" s="74">
        <v>2010</v>
      </c>
      <c r="D3" s="74">
        <v>9.2183908045977017</v>
      </c>
    </row>
    <row r="4" spans="1:4" x14ac:dyDescent="0.2">
      <c r="A4" s="74" t="s">
        <v>142</v>
      </c>
      <c r="B4" s="74">
        <v>2010</v>
      </c>
      <c r="D4" s="74">
        <v>1.5825242718446602</v>
      </c>
    </row>
    <row r="5" spans="1:4" x14ac:dyDescent="0.2">
      <c r="A5" s="74" t="s">
        <v>4</v>
      </c>
      <c r="B5" s="74">
        <v>2003</v>
      </c>
      <c r="C5" s="74">
        <v>4.5685280114412308E-2</v>
      </c>
      <c r="D5" s="74">
        <v>5.2385786802030454</v>
      </c>
    </row>
    <row r="6" spans="1:4" x14ac:dyDescent="0.2">
      <c r="A6" s="74" t="s">
        <v>15</v>
      </c>
      <c r="B6" s="74">
        <v>2010</v>
      </c>
      <c r="D6" s="74">
        <v>2.6947368421052631</v>
      </c>
    </row>
    <row r="7" spans="1:4" x14ac:dyDescent="0.2">
      <c r="A7" s="74" t="s">
        <v>5</v>
      </c>
      <c r="B7" s="74">
        <v>2003</v>
      </c>
      <c r="C7" s="74">
        <v>0.127976194024086</v>
      </c>
      <c r="D7" s="74">
        <v>2.4215116279069768</v>
      </c>
    </row>
    <row r="8" spans="1:4" x14ac:dyDescent="0.2">
      <c r="A8" s="74" t="s">
        <v>57</v>
      </c>
      <c r="B8" s="74">
        <v>2009</v>
      </c>
      <c r="C8" s="74">
        <v>3.6036036908626556E-2</v>
      </c>
      <c r="D8" s="74">
        <v>1.2252252252252251</v>
      </c>
    </row>
    <row r="9" spans="1:4" x14ac:dyDescent="0.2">
      <c r="A9" s="74" t="s">
        <v>25</v>
      </c>
      <c r="B9" s="74">
        <v>2003</v>
      </c>
      <c r="C9" s="74">
        <v>1.8604651093482971E-2</v>
      </c>
      <c r="D9" s="74">
        <v>5.6186046511627907</v>
      </c>
    </row>
    <row r="10" spans="1:4" x14ac:dyDescent="0.2">
      <c r="A10" s="74" t="s">
        <v>78</v>
      </c>
      <c r="B10" s="74">
        <v>2009</v>
      </c>
      <c r="C10" s="74">
        <v>0.104347825050354</v>
      </c>
      <c r="D10" s="74">
        <v>1.6280991735537189</v>
      </c>
    </row>
    <row r="11" spans="1:4" x14ac:dyDescent="0.2">
      <c r="A11" s="74" t="s">
        <v>6</v>
      </c>
      <c r="B11" s="74">
        <v>2006</v>
      </c>
      <c r="C11" s="74">
        <v>8.9108914136886597E-2</v>
      </c>
      <c r="D11" s="74">
        <v>2.233009708737864</v>
      </c>
    </row>
    <row r="12" spans="1:4" x14ac:dyDescent="0.2">
      <c r="A12" s="74" t="s">
        <v>6</v>
      </c>
      <c r="B12" s="74">
        <v>2009</v>
      </c>
      <c r="C12" s="74">
        <v>3.8961037993431091E-2</v>
      </c>
      <c r="D12" s="74">
        <v>0.91463414634146345</v>
      </c>
    </row>
    <row r="13" spans="1:4" x14ac:dyDescent="0.2">
      <c r="A13" s="74" t="s">
        <v>17</v>
      </c>
      <c r="B13" s="74">
        <v>2010</v>
      </c>
      <c r="D13" s="74">
        <v>3.8611111111111112</v>
      </c>
    </row>
    <row r="14" spans="1:4" x14ac:dyDescent="0.2">
      <c r="A14" s="74" t="s">
        <v>319</v>
      </c>
      <c r="B14" s="74">
        <v>2008</v>
      </c>
      <c r="C14" s="74">
        <v>3.3689839765429497E-3</v>
      </c>
      <c r="D14" s="74">
        <v>4.1229946524064172</v>
      </c>
    </row>
    <row r="15" spans="1:4" x14ac:dyDescent="0.2">
      <c r="A15" s="74" t="s">
        <v>7</v>
      </c>
      <c r="B15" s="74">
        <v>2003</v>
      </c>
      <c r="C15" s="74">
        <v>7.7519379556179047E-2</v>
      </c>
      <c r="D15" s="74">
        <v>3.7357512953367875</v>
      </c>
    </row>
    <row r="16" spans="1:4" x14ac:dyDescent="0.2">
      <c r="A16" s="74" t="s">
        <v>7</v>
      </c>
      <c r="B16" s="74">
        <v>2010</v>
      </c>
      <c r="D16" s="74">
        <v>1.46875</v>
      </c>
    </row>
    <row r="17" spans="1:4" x14ac:dyDescent="0.2">
      <c r="A17" s="74" t="s">
        <v>8</v>
      </c>
      <c r="B17" s="74">
        <v>2002</v>
      </c>
      <c r="C17" s="74">
        <v>0</v>
      </c>
      <c r="D17" s="74">
        <v>4.6948775055679288</v>
      </c>
    </row>
    <row r="18" spans="1:4" x14ac:dyDescent="0.2">
      <c r="A18" s="74" t="s">
        <v>9</v>
      </c>
      <c r="B18" s="74">
        <v>2003</v>
      </c>
      <c r="C18" s="74">
        <v>0</v>
      </c>
      <c r="D18" s="74">
        <v>3.7862318840579712</v>
      </c>
    </row>
    <row r="19" spans="1:4" x14ac:dyDescent="0.2">
      <c r="A19" s="74" t="s">
        <v>10</v>
      </c>
      <c r="B19" s="74">
        <v>2003</v>
      </c>
      <c r="C19" s="74">
        <v>5.5248618125915527E-2</v>
      </c>
      <c r="D19" s="74">
        <v>3.5081081081081082</v>
      </c>
    </row>
    <row r="20" spans="1:4" x14ac:dyDescent="0.2">
      <c r="A20" s="74" t="s">
        <v>53</v>
      </c>
      <c r="B20" s="74">
        <v>2010</v>
      </c>
      <c r="D20" s="74">
        <v>4.4597701149425291</v>
      </c>
    </row>
    <row r="21" spans="1:4" x14ac:dyDescent="0.2">
      <c r="A21" s="74" t="s">
        <v>54</v>
      </c>
      <c r="B21" s="74">
        <v>2009</v>
      </c>
      <c r="C21" s="74">
        <v>0.20000000298023224</v>
      </c>
      <c r="D21" s="74">
        <v>6</v>
      </c>
    </row>
    <row r="22" spans="1:4" x14ac:dyDescent="0.2">
      <c r="A22" s="74" t="s">
        <v>11</v>
      </c>
      <c r="B22" s="74">
        <v>2005</v>
      </c>
      <c r="C22" s="74">
        <v>4.6875E-2</v>
      </c>
      <c r="D22" s="74">
        <v>4.5188679245283021</v>
      </c>
    </row>
    <row r="23" spans="1:4" x14ac:dyDescent="0.2">
      <c r="A23" s="74" t="s">
        <v>74</v>
      </c>
      <c r="B23" s="74">
        <v>2003</v>
      </c>
      <c r="C23" s="74">
        <v>6.1320755630731583E-2</v>
      </c>
      <c r="D23" s="74">
        <v>4.103286384976526</v>
      </c>
    </row>
    <row r="24" spans="1:4" x14ac:dyDescent="0.2">
      <c r="A24" s="74" t="s">
        <v>116</v>
      </c>
      <c r="B24" s="74">
        <v>2010</v>
      </c>
      <c r="D24" s="74">
        <v>2.2903225806451615</v>
      </c>
    </row>
    <row r="25" spans="1:4" x14ac:dyDescent="0.2">
      <c r="A25" s="74" t="s">
        <v>23</v>
      </c>
      <c r="B25" s="74">
        <v>2011</v>
      </c>
      <c r="D25" s="74">
        <v>2.3608247422680413</v>
      </c>
    </row>
    <row r="26" spans="1:4" x14ac:dyDescent="0.2">
      <c r="A26" s="74" t="s">
        <v>69</v>
      </c>
      <c r="B26" s="74">
        <v>2003</v>
      </c>
      <c r="C26" s="74">
        <v>0.15979380905628204</v>
      </c>
      <c r="D26" s="74">
        <v>5.3195876288659791</v>
      </c>
    </row>
    <row r="27" spans="1:4" x14ac:dyDescent="0.2">
      <c r="A27" s="74" t="s">
        <v>12</v>
      </c>
      <c r="B27" s="74">
        <v>2003</v>
      </c>
      <c r="C27" s="74">
        <v>1.3029315508902073E-2</v>
      </c>
      <c r="D27" s="74">
        <v>3.4448051948051948</v>
      </c>
    </row>
    <row r="28" spans="1:4" x14ac:dyDescent="0.2">
      <c r="A28" s="74" t="s">
        <v>13</v>
      </c>
      <c r="B28" s="74">
        <v>2003</v>
      </c>
      <c r="C28" s="74">
        <v>0.19230769574642181</v>
      </c>
      <c r="D28" s="74">
        <v>4.5789473684210522</v>
      </c>
    </row>
    <row r="32" spans="1:4" x14ac:dyDescent="0.2">
      <c r="A32" s="74" t="s">
        <v>1026</v>
      </c>
    </row>
  </sheetData>
  <customSheetViews>
    <customSheetView guid="{BF4B7214-A780-4E29-8376-D0EF10A37853}" state="hidden">
      <selection activeCell="A32" sqref="A32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view="pageBreakPreview" zoomScale="154" zoomScaleNormal="100" zoomScaleSheetLayoutView="154" workbookViewId="0">
      <selection activeCell="Y44" sqref="Y44"/>
    </sheetView>
  </sheetViews>
  <sheetFormatPr defaultRowHeight="15" x14ac:dyDescent="0.25"/>
  <cols>
    <col min="1" max="1" width="21.5703125" style="10" bestFit="1" customWidth="1"/>
    <col min="2" max="2" width="12.28515625" style="164" customWidth="1"/>
    <col min="3" max="3" width="14.140625" style="164" customWidth="1"/>
    <col min="4" max="4" width="14.5703125" style="164" customWidth="1"/>
    <col min="5" max="5" width="13.140625" style="164" customWidth="1"/>
    <col min="6" max="6" width="14.5703125" style="164" customWidth="1"/>
    <col min="7" max="7" width="18.140625" style="164" customWidth="1"/>
    <col min="8" max="9" width="14.5703125" style="164" customWidth="1"/>
    <col min="10" max="11" width="14.7109375" style="164" bestFit="1" customWidth="1"/>
    <col min="12" max="15" width="8.7109375" style="164" customWidth="1"/>
    <col min="16" max="16" width="9.140625" style="164"/>
  </cols>
  <sheetData>
    <row r="1" spans="1:22" x14ac:dyDescent="0.25">
      <c r="A1" s="175" t="s">
        <v>2093</v>
      </c>
      <c r="B1" s="176"/>
      <c r="C1" s="176"/>
      <c r="D1" s="176"/>
      <c r="E1" s="176"/>
      <c r="F1" s="176"/>
      <c r="G1" s="176"/>
      <c r="H1" s="176"/>
      <c r="I1" s="176"/>
      <c r="J1" s="165"/>
      <c r="K1" s="165"/>
      <c r="L1" s="165"/>
      <c r="M1" s="165"/>
      <c r="N1" s="165"/>
      <c r="O1" s="165"/>
      <c r="P1" s="165"/>
    </row>
    <row r="2" spans="1:22" x14ac:dyDescent="0.25">
      <c r="A2" s="192"/>
      <c r="B2" s="192"/>
      <c r="C2" s="192"/>
      <c r="D2" s="192"/>
      <c r="E2" s="192"/>
      <c r="F2" s="192"/>
      <c r="G2" s="192"/>
      <c r="H2" s="192"/>
      <c r="I2" s="192"/>
      <c r="J2" s="165"/>
      <c r="K2" s="165"/>
      <c r="L2" s="165"/>
      <c r="M2" s="165"/>
      <c r="N2" s="165"/>
      <c r="O2" s="165"/>
      <c r="P2" s="165"/>
    </row>
    <row r="3" spans="1:22" ht="30.6" customHeight="1" x14ac:dyDescent="0.25">
      <c r="A3" s="183" t="s">
        <v>564</v>
      </c>
      <c r="B3" s="178"/>
      <c r="C3" s="178"/>
      <c r="D3" s="178"/>
      <c r="E3" s="178"/>
      <c r="F3" s="178"/>
      <c r="G3" s="178"/>
      <c r="H3" s="178"/>
      <c r="I3" s="178"/>
      <c r="J3" s="166"/>
      <c r="K3" s="166"/>
      <c r="L3" s="166"/>
      <c r="M3" s="165"/>
      <c r="N3" s="165"/>
      <c r="O3" s="165"/>
      <c r="P3" s="165"/>
    </row>
    <row r="4" spans="1:22" ht="60" x14ac:dyDescent="0.25">
      <c r="A4" s="32"/>
      <c r="B4" s="39" t="s">
        <v>251</v>
      </c>
      <c r="C4" s="39" t="s">
        <v>252</v>
      </c>
      <c r="D4" s="39" t="s">
        <v>250</v>
      </c>
      <c r="E4" s="39" t="s">
        <v>454</v>
      </c>
      <c r="F4" s="39" t="s">
        <v>455</v>
      </c>
      <c r="G4" s="39" t="s">
        <v>456</v>
      </c>
      <c r="H4" s="39" t="s">
        <v>457</v>
      </c>
      <c r="I4" s="39" t="s">
        <v>458</v>
      </c>
      <c r="J4" s="78"/>
      <c r="K4" s="78"/>
      <c r="L4" s="166"/>
      <c r="V4" s="164"/>
    </row>
    <row r="5" spans="1:22" ht="15" customHeight="1" x14ac:dyDescent="0.25">
      <c r="A5" s="79" t="s">
        <v>459</v>
      </c>
      <c r="B5" s="80">
        <f t="shared" ref="B5:I14" si="0">VALUE(L5)</f>
        <v>0.71428573129999995</v>
      </c>
      <c r="C5" s="80">
        <f t="shared" si="0"/>
        <v>0.3613445461</v>
      </c>
      <c r="D5" s="80">
        <f t="shared" si="0"/>
        <v>7.5630254999999993E-2</v>
      </c>
      <c r="E5" s="80">
        <f t="shared" si="0"/>
        <v>9.2436976700000006E-2</v>
      </c>
      <c r="F5" s="80">
        <f t="shared" si="0"/>
        <v>3.3613447099999999E-2</v>
      </c>
      <c r="G5" s="80">
        <f t="shared" si="0"/>
        <v>1.6806723499999999E-2</v>
      </c>
      <c r="H5" s="80">
        <f t="shared" si="0"/>
        <v>0.12605042759999999</v>
      </c>
      <c r="I5" s="80">
        <f t="shared" si="0"/>
        <v>1.6806723499999999E-2</v>
      </c>
      <c r="J5" t="s">
        <v>460</v>
      </c>
      <c r="K5" s="74" t="s">
        <v>460</v>
      </c>
      <c r="L5" s="74">
        <v>0.71428573129999995</v>
      </c>
      <c r="M5" s="74">
        <v>0.3613445461</v>
      </c>
      <c r="N5" s="74">
        <v>7.5630254999999993E-2</v>
      </c>
      <c r="O5" s="74">
        <v>9.2436976700000006E-2</v>
      </c>
      <c r="P5" s="74">
        <v>3.3613447099999999E-2</v>
      </c>
      <c r="Q5" s="74">
        <v>1.6806723499999999E-2</v>
      </c>
      <c r="R5" s="74">
        <v>0.12605042759999999</v>
      </c>
      <c r="S5" s="74">
        <v>1.6806723499999999E-2</v>
      </c>
      <c r="V5" s="164"/>
    </row>
    <row r="6" spans="1:22" ht="15" customHeight="1" x14ac:dyDescent="0.25">
      <c r="A6" s="79" t="s">
        <v>461</v>
      </c>
      <c r="B6" s="80">
        <f t="shared" si="0"/>
        <v>0.63247865439999995</v>
      </c>
      <c r="C6" s="80">
        <f t="shared" si="0"/>
        <v>0.26890757679999999</v>
      </c>
      <c r="D6" s="80">
        <f t="shared" si="0"/>
        <v>0.12820513550000001</v>
      </c>
      <c r="E6" s="80">
        <f t="shared" si="0"/>
        <v>0.26271185279999998</v>
      </c>
      <c r="F6" s="80">
        <f t="shared" si="0"/>
        <v>5.1282052000000002E-2</v>
      </c>
      <c r="G6" s="80">
        <f t="shared" si="0"/>
        <v>7.6923079800000002E-2</v>
      </c>
      <c r="H6" s="80">
        <f t="shared" si="0"/>
        <v>2.5641026000000001E-2</v>
      </c>
      <c r="I6" s="80">
        <f t="shared" si="0"/>
        <v>1.7094017900000001E-2</v>
      </c>
      <c r="J6" t="s">
        <v>462</v>
      </c>
      <c r="K6" s="74" t="s">
        <v>462</v>
      </c>
      <c r="L6" s="74">
        <v>0.63247865439999995</v>
      </c>
      <c r="M6" s="74">
        <v>0.26890757679999999</v>
      </c>
      <c r="N6" s="74">
        <v>0.12820513550000001</v>
      </c>
      <c r="O6" s="74">
        <v>0.26271185279999998</v>
      </c>
      <c r="P6" s="74">
        <v>5.1282052000000002E-2</v>
      </c>
      <c r="Q6" s="74">
        <v>7.6923079800000002E-2</v>
      </c>
      <c r="R6" s="74">
        <v>2.5641026000000001E-2</v>
      </c>
      <c r="S6" s="74">
        <v>1.7094017900000001E-2</v>
      </c>
      <c r="V6" s="164"/>
    </row>
    <row r="7" spans="1:22" ht="15" customHeight="1" x14ac:dyDescent="0.25">
      <c r="A7" s="79" t="s">
        <v>463</v>
      </c>
      <c r="B7" s="80">
        <f t="shared" si="0"/>
        <v>1</v>
      </c>
      <c r="C7" s="80">
        <f t="shared" si="0"/>
        <v>1.12359552E-2</v>
      </c>
      <c r="D7" s="80">
        <f t="shared" si="0"/>
        <v>0.17977528270000001</v>
      </c>
      <c r="E7" s="80">
        <f t="shared" si="0"/>
        <v>1.12359552E-2</v>
      </c>
      <c r="F7" s="80">
        <f t="shared" si="0"/>
        <v>8.9887641399999996E-2</v>
      </c>
      <c r="G7" s="80">
        <f t="shared" si="0"/>
        <v>6.7415729199999996E-2</v>
      </c>
      <c r="H7" s="80">
        <f t="shared" si="0"/>
        <v>2.2471910300000002E-2</v>
      </c>
      <c r="I7" s="80">
        <f t="shared" si="0"/>
        <v>6.7415729199999996E-2</v>
      </c>
      <c r="J7" t="s">
        <v>464</v>
      </c>
      <c r="K7" s="74" t="s">
        <v>464</v>
      </c>
      <c r="L7" s="74">
        <v>1</v>
      </c>
      <c r="M7" s="74">
        <v>1.12359552E-2</v>
      </c>
      <c r="N7" s="74">
        <v>0.17977528270000001</v>
      </c>
      <c r="O7" s="74">
        <v>1.12359552E-2</v>
      </c>
      <c r="P7" s="74">
        <v>8.9887641399999996E-2</v>
      </c>
      <c r="Q7" s="74">
        <v>6.7415729199999996E-2</v>
      </c>
      <c r="R7" s="74">
        <v>2.2471910300000002E-2</v>
      </c>
      <c r="S7" s="74">
        <v>6.7415729199999996E-2</v>
      </c>
      <c r="V7" s="164"/>
    </row>
    <row r="8" spans="1:22" ht="15" customHeight="1" x14ac:dyDescent="0.25">
      <c r="A8" s="79" t="s">
        <v>465</v>
      </c>
      <c r="B8" s="80">
        <f t="shared" si="0"/>
        <v>0.67213112119999996</v>
      </c>
      <c r="C8" s="80">
        <f t="shared" si="0"/>
        <v>0.38524588939999999</v>
      </c>
      <c r="D8" s="80">
        <f t="shared" si="0"/>
        <v>0.18032786249999999</v>
      </c>
      <c r="E8" s="80">
        <f t="shared" si="0"/>
        <v>0.32786884900000002</v>
      </c>
      <c r="F8" s="80">
        <f t="shared" si="0"/>
        <v>0.13114753370000001</v>
      </c>
      <c r="G8" s="80">
        <f t="shared" si="0"/>
        <v>2.45901644E-2</v>
      </c>
      <c r="H8" s="80">
        <f t="shared" si="0"/>
        <v>6.5573766800000002E-2</v>
      </c>
      <c r="I8" s="80">
        <f t="shared" si="0"/>
        <v>1.6393441700000001E-2</v>
      </c>
      <c r="J8" t="s">
        <v>466</v>
      </c>
      <c r="K8" s="74" t="s">
        <v>466</v>
      </c>
      <c r="L8" s="74">
        <v>0.67213112119999996</v>
      </c>
      <c r="M8" s="74">
        <v>0.38524588939999999</v>
      </c>
      <c r="N8" s="74">
        <v>0.18032786249999999</v>
      </c>
      <c r="O8" s="74">
        <v>0.32786884900000002</v>
      </c>
      <c r="P8" s="74">
        <v>0.13114753370000001</v>
      </c>
      <c r="Q8" s="74">
        <v>2.45901644E-2</v>
      </c>
      <c r="R8" s="74">
        <v>6.5573766800000002E-2</v>
      </c>
      <c r="S8" s="74">
        <v>1.6393441700000001E-2</v>
      </c>
    </row>
    <row r="9" spans="1:22" ht="15" customHeight="1" x14ac:dyDescent="0.25">
      <c r="A9" s="79" t="s">
        <v>467</v>
      </c>
      <c r="B9" s="80">
        <f t="shared" si="0"/>
        <v>0.69999998809999997</v>
      </c>
      <c r="C9" s="80">
        <f t="shared" si="0"/>
        <v>0.2066666633</v>
      </c>
      <c r="D9" s="80">
        <f t="shared" si="0"/>
        <v>0.2066666633</v>
      </c>
      <c r="E9" s="80">
        <f t="shared" si="0"/>
        <v>0.11333333700000001</v>
      </c>
      <c r="F9" s="80">
        <f t="shared" si="0"/>
        <v>0.1000000015</v>
      </c>
      <c r="G9" s="80">
        <f t="shared" si="0"/>
        <v>1.9999999599999999E-2</v>
      </c>
      <c r="H9" s="80">
        <f t="shared" si="0"/>
        <v>2.6666667299999999E-2</v>
      </c>
      <c r="I9" s="80">
        <f t="shared" si="0"/>
        <v>6.6666670100000006E-2</v>
      </c>
      <c r="J9" t="s">
        <v>468</v>
      </c>
      <c r="K9" s="74" t="s">
        <v>468</v>
      </c>
      <c r="L9" s="74">
        <v>0.69999998809999997</v>
      </c>
      <c r="M9" s="74">
        <v>0.2066666633</v>
      </c>
      <c r="N9" s="74">
        <v>0.2066666633</v>
      </c>
      <c r="O9" s="74">
        <v>0.11333333700000001</v>
      </c>
      <c r="P9" s="74">
        <v>0.1000000015</v>
      </c>
      <c r="Q9" s="74">
        <v>1.9999999599999999E-2</v>
      </c>
      <c r="R9" s="74">
        <v>2.6666667299999999E-2</v>
      </c>
      <c r="S9" s="74">
        <v>6.6666670100000006E-2</v>
      </c>
    </row>
    <row r="10" spans="1:22" ht="15" customHeight="1" x14ac:dyDescent="0.25">
      <c r="A10" s="79" t="s">
        <v>469</v>
      </c>
      <c r="B10" s="80">
        <f t="shared" si="0"/>
        <v>0.69767439369999995</v>
      </c>
      <c r="C10" s="80">
        <f t="shared" si="0"/>
        <v>0.3178294599</v>
      </c>
      <c r="D10" s="80">
        <f t="shared" si="0"/>
        <v>0.1395348907</v>
      </c>
      <c r="E10" s="80">
        <f t="shared" si="0"/>
        <v>0.14728681739999999</v>
      </c>
      <c r="F10" s="80">
        <f t="shared" si="0"/>
        <v>0.10077519710000001</v>
      </c>
      <c r="G10" s="80">
        <f t="shared" si="0"/>
        <v>7.7519379999999999E-3</v>
      </c>
      <c r="H10" s="80">
        <f t="shared" si="0"/>
        <v>3.10077518E-2</v>
      </c>
      <c r="I10" s="80">
        <f t="shared" si="0"/>
        <v>0</v>
      </c>
      <c r="J10" t="s">
        <v>470</v>
      </c>
      <c r="K10" s="74" t="s">
        <v>470</v>
      </c>
      <c r="L10" s="74">
        <v>0.69767439369999995</v>
      </c>
      <c r="M10" s="74">
        <v>0.3178294599</v>
      </c>
      <c r="N10" s="74">
        <v>0.1395348907</v>
      </c>
      <c r="O10" s="74">
        <v>0.14728681739999999</v>
      </c>
      <c r="P10" s="74">
        <v>0.10077519710000001</v>
      </c>
      <c r="Q10" s="74">
        <v>7.7519379999999999E-3</v>
      </c>
      <c r="R10" s="74">
        <v>3.10077518E-2</v>
      </c>
      <c r="S10" s="74">
        <v>0</v>
      </c>
    </row>
    <row r="11" spans="1:22" ht="15" customHeight="1" x14ac:dyDescent="0.25">
      <c r="A11" s="79" t="s">
        <v>471</v>
      </c>
      <c r="B11" s="80">
        <f t="shared" si="0"/>
        <v>0.6725663543</v>
      </c>
      <c r="C11" s="80">
        <f t="shared" si="0"/>
        <v>0.2456140369</v>
      </c>
      <c r="D11" s="80">
        <f t="shared" si="0"/>
        <v>0.13636364040000001</v>
      </c>
      <c r="E11" s="80">
        <f t="shared" si="0"/>
        <v>0.15789473060000001</v>
      </c>
      <c r="F11" s="80">
        <f t="shared" si="0"/>
        <v>2.7272727300000001E-2</v>
      </c>
      <c r="G11" s="80">
        <f t="shared" si="0"/>
        <v>9.0909093600000004E-2</v>
      </c>
      <c r="H11" s="80">
        <f t="shared" si="0"/>
        <v>9.9099099600000004E-2</v>
      </c>
      <c r="I11" s="80">
        <f t="shared" si="0"/>
        <v>6.3636362599999996E-2</v>
      </c>
      <c r="J11" t="s">
        <v>472</v>
      </c>
      <c r="K11" s="74" t="s">
        <v>472</v>
      </c>
      <c r="L11" s="74">
        <v>0.6725663543</v>
      </c>
      <c r="M11" s="74">
        <v>0.2456140369</v>
      </c>
      <c r="N11" s="74">
        <v>0.13636364040000001</v>
      </c>
      <c r="O11" s="74">
        <v>0.15789473060000001</v>
      </c>
      <c r="P11" s="74">
        <v>2.7272727300000001E-2</v>
      </c>
      <c r="Q11" s="74">
        <v>9.0909093600000004E-2</v>
      </c>
      <c r="R11" s="74">
        <v>9.9099099600000004E-2</v>
      </c>
      <c r="S11" s="74">
        <v>6.3636362599999996E-2</v>
      </c>
    </row>
    <row r="12" spans="1:22" ht="15" customHeight="1" x14ac:dyDescent="0.25">
      <c r="A12" s="79" t="s">
        <v>473</v>
      </c>
      <c r="B12" s="80">
        <f t="shared" si="0"/>
        <v>0.72440946100000003</v>
      </c>
      <c r="C12" s="80">
        <f t="shared" si="0"/>
        <v>0.46456691620000001</v>
      </c>
      <c r="D12" s="80">
        <f t="shared" si="0"/>
        <v>0.1732283533</v>
      </c>
      <c r="E12" s="80">
        <f t="shared" si="0"/>
        <v>2.3622047199999999E-2</v>
      </c>
      <c r="F12" s="80">
        <f t="shared" si="0"/>
        <v>0.1496063024</v>
      </c>
      <c r="G12" s="80">
        <f t="shared" si="0"/>
        <v>8.6614176599999995E-2</v>
      </c>
      <c r="H12" s="80">
        <f t="shared" si="0"/>
        <v>6.2992125699999998E-2</v>
      </c>
      <c r="I12" s="80">
        <f t="shared" si="0"/>
        <v>3.9370078599999997E-2</v>
      </c>
      <c r="J12" t="s">
        <v>474</v>
      </c>
      <c r="K12" s="74" t="s">
        <v>474</v>
      </c>
      <c r="L12" s="74">
        <v>0.72440946100000003</v>
      </c>
      <c r="M12" s="74">
        <v>0.46456691620000001</v>
      </c>
      <c r="N12" s="74">
        <v>0.1732283533</v>
      </c>
      <c r="O12" s="74">
        <v>2.3622047199999999E-2</v>
      </c>
      <c r="P12" s="74">
        <v>0.1496063024</v>
      </c>
      <c r="Q12" s="74">
        <v>8.6614176599999995E-2</v>
      </c>
      <c r="R12" s="74">
        <v>6.2992125699999998E-2</v>
      </c>
      <c r="S12" s="74">
        <v>3.9370078599999997E-2</v>
      </c>
    </row>
    <row r="13" spans="1:22" ht="15" customHeight="1" x14ac:dyDescent="0.25">
      <c r="A13" s="79" t="s">
        <v>475</v>
      </c>
      <c r="B13" s="80">
        <f t="shared" si="0"/>
        <v>0.84347826240000001</v>
      </c>
      <c r="C13" s="80">
        <f t="shared" si="0"/>
        <v>0.33043476939999999</v>
      </c>
      <c r="D13" s="80">
        <f t="shared" si="0"/>
        <v>0.14159291979999999</v>
      </c>
      <c r="E13" s="80">
        <f t="shared" si="0"/>
        <v>0.2586206794</v>
      </c>
      <c r="F13" s="80">
        <f t="shared" si="0"/>
        <v>2.6548672499999999E-2</v>
      </c>
      <c r="G13" s="80">
        <f t="shared" si="0"/>
        <v>2.6548672499999999E-2</v>
      </c>
      <c r="H13" s="80">
        <f t="shared" si="0"/>
        <v>1.7699115000000001E-2</v>
      </c>
      <c r="I13" s="80">
        <f t="shared" si="0"/>
        <v>0</v>
      </c>
      <c r="J13" t="s">
        <v>476</v>
      </c>
      <c r="K13" s="74" t="s">
        <v>476</v>
      </c>
      <c r="L13" s="74">
        <v>0.84347826240000001</v>
      </c>
      <c r="M13" s="74">
        <v>0.33043476939999999</v>
      </c>
      <c r="N13" s="74">
        <v>0.14159291979999999</v>
      </c>
      <c r="O13" s="74">
        <v>0.2586206794</v>
      </c>
      <c r="P13" s="74">
        <v>2.6548672499999999E-2</v>
      </c>
      <c r="Q13" s="74">
        <v>2.6548672499999999E-2</v>
      </c>
      <c r="R13" s="74">
        <v>1.7699115000000001E-2</v>
      </c>
      <c r="S13" s="74">
        <v>0</v>
      </c>
    </row>
    <row r="14" spans="1:22" x14ac:dyDescent="0.25">
      <c r="A14" s="79" t="s">
        <v>477</v>
      </c>
      <c r="B14" s="80">
        <f t="shared" si="0"/>
        <v>0.63999998570000005</v>
      </c>
      <c r="C14" s="80">
        <f t="shared" si="0"/>
        <v>5.9999998700000001E-2</v>
      </c>
      <c r="D14" s="80">
        <f t="shared" si="0"/>
        <v>3.9999999100000003E-2</v>
      </c>
      <c r="E14" s="80">
        <f t="shared" si="0"/>
        <v>0</v>
      </c>
      <c r="F14" s="80">
        <f t="shared" si="0"/>
        <v>0.1000000015</v>
      </c>
      <c r="G14" s="80">
        <f t="shared" si="0"/>
        <v>0.11999999729999999</v>
      </c>
      <c r="H14" s="80">
        <f t="shared" si="0"/>
        <v>3.9999999100000003E-2</v>
      </c>
      <c r="I14" s="80">
        <f t="shared" si="0"/>
        <v>0</v>
      </c>
      <c r="J14" t="s">
        <v>478</v>
      </c>
      <c r="K14" s="74" t="s">
        <v>478</v>
      </c>
      <c r="L14" s="74">
        <v>0.63999998570000005</v>
      </c>
      <c r="M14" s="74">
        <v>5.9999998700000001E-2</v>
      </c>
      <c r="N14" s="74">
        <v>3.9999999100000003E-2</v>
      </c>
      <c r="O14" s="74">
        <v>0</v>
      </c>
      <c r="P14" s="74">
        <v>0.1000000015</v>
      </c>
      <c r="Q14" s="74">
        <v>0.11999999729999999</v>
      </c>
      <c r="R14" s="74">
        <v>3.9999999100000003E-2</v>
      </c>
      <c r="S14" s="74">
        <v>0</v>
      </c>
    </row>
    <row r="15" spans="1:22" x14ac:dyDescent="0.25">
      <c r="A15" s="81" t="s">
        <v>42</v>
      </c>
      <c r="B15" s="82">
        <f>AVERAGE(B5:B14)</f>
        <v>0.72970239520999991</v>
      </c>
      <c r="C15" s="82">
        <f t="shared" ref="C15:I15" si="1">AVERAGE(C5:C14)</f>
        <v>0.26518458118999999</v>
      </c>
      <c r="D15" s="82">
        <f t="shared" si="1"/>
        <v>0.14013250023000001</v>
      </c>
      <c r="E15" s="82">
        <f t="shared" si="1"/>
        <v>0.13950112453000002</v>
      </c>
      <c r="F15" s="82">
        <f t="shared" si="1"/>
        <v>8.1013357650000006E-2</v>
      </c>
      <c r="G15" s="82">
        <f t="shared" si="1"/>
        <v>5.3755957449999989E-2</v>
      </c>
      <c r="H15" s="82">
        <f t="shared" si="1"/>
        <v>5.172018892E-2</v>
      </c>
      <c r="I15" s="82">
        <f t="shared" si="1"/>
        <v>2.8738302360000002E-2</v>
      </c>
      <c r="J15" s="167"/>
      <c r="K15" s="167"/>
      <c r="L15" s="167"/>
    </row>
    <row r="16" spans="1:22" x14ac:dyDescent="0.25">
      <c r="J16" s="167"/>
      <c r="K16" s="167"/>
      <c r="L16" s="167"/>
    </row>
    <row r="17" spans="2:19" x14ac:dyDescent="0.25">
      <c r="J17" s="167"/>
      <c r="K17" s="167"/>
      <c r="L17" s="167"/>
    </row>
    <row r="18" spans="2:19" x14ac:dyDescent="0.25">
      <c r="J18" s="167"/>
      <c r="K18" s="167"/>
      <c r="L18" s="167"/>
    </row>
    <row r="19" spans="2:19" ht="15" customHeight="1" x14ac:dyDescent="0.25">
      <c r="J19" s="74"/>
      <c r="K19" s="74"/>
      <c r="L19" s="74"/>
      <c r="M19" s="74"/>
      <c r="N19" s="74"/>
      <c r="O19" s="74"/>
      <c r="P19" s="74"/>
      <c r="Q19" s="74"/>
      <c r="R19" s="74"/>
      <c r="S19" s="74"/>
    </row>
    <row r="20" spans="2:19" ht="15" customHeight="1" x14ac:dyDescent="0.25"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2:19" ht="15" customHeight="1" x14ac:dyDescent="0.25">
      <c r="B21"/>
      <c r="C21"/>
      <c r="D21"/>
      <c r="E21"/>
      <c r="F21"/>
      <c r="G21"/>
      <c r="H21"/>
      <c r="I21"/>
      <c r="J21" s="74"/>
      <c r="K21" s="74"/>
      <c r="L21" s="74"/>
      <c r="M21" s="74"/>
      <c r="N21" s="74"/>
      <c r="O21" s="74"/>
      <c r="P21" s="74"/>
      <c r="Q21" s="74"/>
      <c r="R21" s="74"/>
      <c r="S21" s="74"/>
    </row>
    <row r="22" spans="2:19" ht="15" customHeight="1" x14ac:dyDescent="0.25">
      <c r="B22"/>
      <c r="C22"/>
      <c r="D22"/>
      <c r="E22"/>
      <c r="F22"/>
      <c r="G22"/>
      <c r="H22"/>
      <c r="I22"/>
      <c r="J22" s="74"/>
      <c r="K22" s="74"/>
      <c r="L22" s="74"/>
      <c r="M22" s="74"/>
      <c r="N22" s="74"/>
      <c r="O22" s="74"/>
      <c r="P22" s="74"/>
      <c r="Q22" s="74"/>
      <c r="R22" s="74"/>
      <c r="S22" s="74"/>
    </row>
    <row r="23" spans="2:19" ht="15" customHeight="1" x14ac:dyDescent="0.25">
      <c r="B23"/>
      <c r="C23"/>
      <c r="D23"/>
      <c r="E23"/>
      <c r="F23"/>
      <c r="G23"/>
      <c r="H23"/>
      <c r="I23"/>
      <c r="J23" s="74"/>
      <c r="K23" s="74"/>
      <c r="L23" s="74"/>
      <c r="M23" s="74"/>
      <c r="N23" s="74"/>
      <c r="O23" s="74"/>
      <c r="P23" s="74"/>
      <c r="Q23" s="74"/>
      <c r="R23" s="74"/>
      <c r="S23" s="74"/>
    </row>
    <row r="24" spans="2:19" ht="15" customHeight="1" x14ac:dyDescent="0.25">
      <c r="B24"/>
      <c r="C24"/>
      <c r="D24"/>
      <c r="E24"/>
      <c r="F24"/>
      <c r="G24"/>
      <c r="H24"/>
      <c r="I24"/>
      <c r="J24" s="74"/>
      <c r="K24" s="74"/>
      <c r="L24" s="74"/>
      <c r="M24" s="74"/>
      <c r="N24" s="74"/>
      <c r="O24" s="74"/>
      <c r="P24" s="74"/>
      <c r="Q24" s="74"/>
      <c r="R24" s="74"/>
      <c r="S24" s="74"/>
    </row>
    <row r="25" spans="2:19" ht="15" customHeight="1" x14ac:dyDescent="0.25">
      <c r="B25"/>
      <c r="C25"/>
      <c r="D25"/>
      <c r="E25"/>
      <c r="F25"/>
      <c r="G25"/>
      <c r="H25"/>
      <c r="I25"/>
      <c r="J25" s="74"/>
      <c r="K25" s="74"/>
      <c r="L25" s="74"/>
      <c r="M25" s="74"/>
      <c r="N25" s="74"/>
      <c r="O25" s="74"/>
      <c r="P25" s="74"/>
      <c r="Q25" s="74"/>
      <c r="R25" s="74"/>
      <c r="S25" s="74"/>
    </row>
    <row r="26" spans="2:19" ht="15" customHeight="1" x14ac:dyDescent="0.25">
      <c r="B26"/>
      <c r="C26"/>
      <c r="D26"/>
      <c r="E26"/>
      <c r="F26"/>
      <c r="G26"/>
      <c r="H26"/>
      <c r="I26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2:19" ht="15" customHeight="1" x14ac:dyDescent="0.25">
      <c r="B27"/>
      <c r="C27"/>
      <c r="D27"/>
      <c r="E27"/>
      <c r="F27"/>
      <c r="G27"/>
      <c r="H27"/>
      <c r="I27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2:19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19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9" x14ac:dyDescent="0.25">
      <c r="B30"/>
      <c r="C30"/>
      <c r="D30"/>
      <c r="E30"/>
      <c r="F30"/>
      <c r="G30"/>
      <c r="H30"/>
      <c r="I30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31" spans="2:19" x14ac:dyDescent="0.25">
      <c r="B31"/>
      <c r="C31"/>
      <c r="D31"/>
      <c r="E31"/>
      <c r="F31"/>
      <c r="G31"/>
      <c r="H31"/>
      <c r="I31"/>
      <c r="J31" s="74"/>
      <c r="K31" s="74"/>
      <c r="L31" s="74"/>
      <c r="M31" s="74"/>
      <c r="N31" s="74"/>
      <c r="O31" s="74"/>
      <c r="P31" s="74"/>
      <c r="Q31" s="74"/>
      <c r="R31" s="74"/>
      <c r="S31" s="74"/>
    </row>
    <row r="32" spans="2:19" x14ac:dyDescent="0.25">
      <c r="B32"/>
      <c r="C32"/>
      <c r="D32"/>
      <c r="E32"/>
      <c r="F32"/>
      <c r="G32"/>
      <c r="H32"/>
      <c r="I32"/>
      <c r="J32" s="74"/>
      <c r="K32" s="74"/>
      <c r="L32" s="74"/>
      <c r="M32" s="74"/>
      <c r="N32" s="74"/>
      <c r="O32" s="74"/>
      <c r="P32" s="74"/>
      <c r="Q32" s="74"/>
      <c r="R32" s="74"/>
      <c r="S32" s="74"/>
    </row>
    <row r="33" spans="2:19" x14ac:dyDescent="0.25">
      <c r="B33"/>
      <c r="C33"/>
      <c r="D33"/>
      <c r="E33"/>
      <c r="F33"/>
      <c r="G33"/>
      <c r="H33"/>
      <c r="I33"/>
      <c r="J33" s="74"/>
      <c r="K33" s="74"/>
      <c r="L33" s="74"/>
      <c r="M33" s="74"/>
      <c r="N33" s="74"/>
      <c r="O33" s="74"/>
      <c r="P33" s="74"/>
      <c r="Q33" s="74"/>
      <c r="R33" s="74"/>
      <c r="S33" s="74"/>
    </row>
    <row r="34" spans="2:19" x14ac:dyDescent="0.25">
      <c r="B34"/>
      <c r="C34"/>
      <c r="D34"/>
      <c r="E34"/>
      <c r="F34"/>
      <c r="G34"/>
      <c r="H34"/>
      <c r="I34"/>
      <c r="J34" s="74"/>
      <c r="K34" s="74"/>
      <c r="L34" s="74"/>
      <c r="M34" s="74"/>
      <c r="N34" s="74"/>
      <c r="O34" s="74"/>
      <c r="P34" s="74"/>
      <c r="Q34" s="74"/>
      <c r="R34" s="74"/>
      <c r="S34" s="74"/>
    </row>
    <row r="35" spans="2:19" x14ac:dyDescent="0.25">
      <c r="B35"/>
      <c r="C35"/>
      <c r="D35"/>
      <c r="E35"/>
      <c r="F35"/>
      <c r="G35"/>
      <c r="H35"/>
      <c r="I35"/>
      <c r="J35" s="74"/>
      <c r="K35" s="74"/>
      <c r="L35" s="74"/>
      <c r="M35" s="74"/>
      <c r="N35" s="74"/>
      <c r="O35" s="74"/>
      <c r="P35" s="74"/>
      <c r="Q35" s="74"/>
      <c r="R35" s="74"/>
      <c r="S35" s="74"/>
    </row>
    <row r="36" spans="2:19" x14ac:dyDescent="0.25">
      <c r="B36"/>
      <c r="C36"/>
      <c r="D36"/>
      <c r="E36"/>
      <c r="F36"/>
      <c r="G36"/>
      <c r="H36"/>
      <c r="I36"/>
      <c r="J36" s="74"/>
      <c r="K36" s="74"/>
      <c r="L36" s="74"/>
      <c r="M36" s="74"/>
      <c r="N36" s="74"/>
      <c r="O36" s="74"/>
      <c r="P36" s="74"/>
      <c r="Q36" s="74"/>
      <c r="R36" s="74"/>
      <c r="S36" s="74"/>
    </row>
    <row r="37" spans="2:19" x14ac:dyDescent="0.25">
      <c r="B37"/>
      <c r="C37"/>
      <c r="D37"/>
      <c r="E37"/>
      <c r="F37"/>
      <c r="G37"/>
      <c r="H37"/>
      <c r="I37"/>
      <c r="J37" s="74"/>
      <c r="K37" s="74"/>
      <c r="L37" s="74"/>
      <c r="M37" s="74"/>
      <c r="N37" s="74"/>
      <c r="O37" s="74"/>
      <c r="P37" s="74"/>
      <c r="Q37" s="74"/>
      <c r="R37" s="74"/>
      <c r="S37" s="74"/>
    </row>
    <row r="38" spans="2:19" x14ac:dyDescent="0.25">
      <c r="B38"/>
      <c r="C38"/>
      <c r="D38"/>
      <c r="E38"/>
      <c r="F38"/>
      <c r="G38"/>
      <c r="H38"/>
      <c r="I38"/>
      <c r="J38" s="74"/>
      <c r="K38" s="74"/>
      <c r="L38" s="74"/>
      <c r="M38" s="74"/>
      <c r="N38" s="74"/>
      <c r="O38" s="74"/>
      <c r="P38" s="74"/>
      <c r="Q38" s="74"/>
      <c r="R38" s="74"/>
      <c r="S38" s="74"/>
    </row>
    <row r="39" spans="2:19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9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2:19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2:19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2:19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9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2:19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customSheetViews>
    <customSheetView guid="{BF4B7214-A780-4E29-8376-D0EF10A37853}" scale="154" showPageBreaks="1" fitToPage="1" printArea="1" view="pageBreakPreview">
      <selection activeCell="A2" sqref="A2:I2"/>
      <pageMargins left="0.7" right="0.7" top="0.75" bottom="0.75" header="0.3" footer="0.3"/>
      <printOptions horizontalCentered="1"/>
      <pageSetup scale="88" orientation="landscape" r:id="rId1"/>
    </customSheetView>
  </customSheetViews>
  <mergeCells count="3">
    <mergeCell ref="A1:I1"/>
    <mergeCell ref="A2:I2"/>
    <mergeCell ref="A3:I3"/>
  </mergeCells>
  <printOptions horizontalCentered="1"/>
  <pageMargins left="0.7" right="0.7" top="0.75" bottom="0.75" header="0.3" footer="0.3"/>
  <pageSetup scale="88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5"/>
  <sheetViews>
    <sheetView workbookViewId="0">
      <selection activeCell="E7" sqref="E7"/>
    </sheetView>
  </sheetViews>
  <sheetFormatPr defaultRowHeight="15" x14ac:dyDescent="0.25"/>
  <cols>
    <col min="1" max="1" width="34.28515625" customWidth="1"/>
    <col min="2" max="2" width="12.140625" customWidth="1"/>
  </cols>
  <sheetData>
    <row r="1" spans="1:2" x14ac:dyDescent="0.25">
      <c r="A1" s="193" t="s">
        <v>2099</v>
      </c>
      <c r="B1" s="193"/>
    </row>
    <row r="3" spans="1:2" x14ac:dyDescent="0.25">
      <c r="A3" s="194" t="s">
        <v>2100</v>
      </c>
      <c r="B3" s="194"/>
    </row>
    <row r="4" spans="1:2" ht="18" x14ac:dyDescent="0.3">
      <c r="A4" s="172" t="s">
        <v>2098</v>
      </c>
      <c r="B4" s="170" t="s">
        <v>2094</v>
      </c>
    </row>
    <row r="5" spans="1:2" x14ac:dyDescent="0.25">
      <c r="A5" t="str">
        <f>""</f>
        <v/>
      </c>
      <c r="B5" s="169" t="str">
        <f>"(1.4772)"</f>
        <v>(1.4772)</v>
      </c>
    </row>
    <row r="6" spans="1:2" x14ac:dyDescent="0.25">
      <c r="B6" s="169"/>
    </row>
    <row r="7" spans="1:2" ht="18" x14ac:dyDescent="0.3">
      <c r="A7" s="172" t="s">
        <v>2097</v>
      </c>
      <c r="B7" s="170" t="s">
        <v>2095</v>
      </c>
    </row>
    <row r="8" spans="1:2" x14ac:dyDescent="0.25">
      <c r="A8" t="str">
        <f>""</f>
        <v/>
      </c>
      <c r="B8" s="169" t="str">
        <f>"(3.6289)"</f>
        <v>(3.6289)</v>
      </c>
    </row>
    <row r="9" spans="1:2" x14ac:dyDescent="0.25">
      <c r="B9" s="169"/>
    </row>
    <row r="10" spans="1:2" hidden="1" x14ac:dyDescent="0.25">
      <c r="A10" t="str">
        <f>"_ICountryCo_2"</f>
        <v>_ICountryCo_2</v>
      </c>
      <c r="B10" s="169" t="str">
        <f>"0.2130a"</f>
        <v>0.2130a</v>
      </c>
    </row>
    <row r="11" spans="1:2" hidden="1" x14ac:dyDescent="0.25">
      <c r="A11" t="str">
        <f>""</f>
        <v/>
      </c>
      <c r="B11" s="169" t="str">
        <f>"(0.0286)"</f>
        <v>(0.0286)</v>
      </c>
    </row>
    <row r="12" spans="1:2" hidden="1" x14ac:dyDescent="0.25">
      <c r="B12" s="169"/>
    </row>
    <row r="13" spans="1:2" hidden="1" x14ac:dyDescent="0.25">
      <c r="A13" t="str">
        <f>"_ICountryCo_3"</f>
        <v>_ICountryCo_3</v>
      </c>
      <c r="B13" s="169" t="str">
        <f>"0.0172"</f>
        <v>0.0172</v>
      </c>
    </row>
    <row r="14" spans="1:2" hidden="1" x14ac:dyDescent="0.25">
      <c r="A14" t="str">
        <f>""</f>
        <v/>
      </c>
      <c r="B14" s="169" t="str">
        <f>"(0.0309)"</f>
        <v>(0.0309)</v>
      </c>
    </row>
    <row r="15" spans="1:2" hidden="1" x14ac:dyDescent="0.25">
      <c r="B15" s="169"/>
    </row>
    <row r="16" spans="1:2" hidden="1" x14ac:dyDescent="0.25">
      <c r="A16" t="str">
        <f>"_ICountryCo_4"</f>
        <v>_ICountryCo_4</v>
      </c>
      <c r="B16" s="169" t="str">
        <f>"0.4761a"</f>
        <v>0.4761a</v>
      </c>
    </row>
    <row r="17" spans="1:2" hidden="1" x14ac:dyDescent="0.25">
      <c r="A17" t="str">
        <f>""</f>
        <v/>
      </c>
      <c r="B17" s="169" t="str">
        <f>"(0.0238)"</f>
        <v>(0.0238)</v>
      </c>
    </row>
    <row r="18" spans="1:2" hidden="1" x14ac:dyDescent="0.25">
      <c r="B18" s="169"/>
    </row>
    <row r="19" spans="1:2" hidden="1" x14ac:dyDescent="0.25">
      <c r="A19" t="str">
        <f>"_ICountryCo_5"</f>
        <v>_ICountryCo_5</v>
      </c>
      <c r="B19" s="169" t="str">
        <f>"-0.0045"</f>
        <v>-0.0045</v>
      </c>
    </row>
    <row r="20" spans="1:2" hidden="1" x14ac:dyDescent="0.25">
      <c r="A20" t="str">
        <f>""</f>
        <v/>
      </c>
      <c r="B20" s="169" t="str">
        <f>"(0.0727)"</f>
        <v>(0.0727)</v>
      </c>
    </row>
    <row r="21" spans="1:2" hidden="1" x14ac:dyDescent="0.25">
      <c r="B21" s="169"/>
    </row>
    <row r="22" spans="1:2" hidden="1" x14ac:dyDescent="0.25">
      <c r="A22" t="str">
        <f>"_ICountryCo_6"</f>
        <v>_ICountryCo_6</v>
      </c>
      <c r="B22" s="169" t="str">
        <f>"-0.1178a"</f>
        <v>-0.1178a</v>
      </c>
    </row>
    <row r="23" spans="1:2" hidden="1" x14ac:dyDescent="0.25">
      <c r="A23" t="str">
        <f>""</f>
        <v/>
      </c>
      <c r="B23" s="169" t="str">
        <f>"(0.0231)"</f>
        <v>(0.0231)</v>
      </c>
    </row>
    <row r="24" spans="1:2" hidden="1" x14ac:dyDescent="0.25">
      <c r="B24" s="169"/>
    </row>
    <row r="25" spans="1:2" hidden="1" x14ac:dyDescent="0.25">
      <c r="A25" t="str">
        <f>"_ICountryCo_7"</f>
        <v>_ICountryCo_7</v>
      </c>
      <c r="B25" s="169" t="str">
        <f>"0.4236a"</f>
        <v>0.4236a</v>
      </c>
    </row>
    <row r="26" spans="1:2" hidden="1" x14ac:dyDescent="0.25">
      <c r="A26" t="str">
        <f>""</f>
        <v/>
      </c>
      <c r="B26" s="169" t="str">
        <f>"(0.0426)"</f>
        <v>(0.0426)</v>
      </c>
    </row>
    <row r="27" spans="1:2" hidden="1" x14ac:dyDescent="0.25">
      <c r="B27" s="169"/>
    </row>
    <row r="28" spans="1:2" hidden="1" x14ac:dyDescent="0.25">
      <c r="A28" t="str">
        <f>"_ICountryCo_8"</f>
        <v>_ICountryCo_8</v>
      </c>
      <c r="B28" s="169" t="str">
        <f>"-0.0526a"</f>
        <v>-0.0526a</v>
      </c>
    </row>
    <row r="29" spans="1:2" hidden="1" x14ac:dyDescent="0.25">
      <c r="A29" t="str">
        <f>""</f>
        <v/>
      </c>
      <c r="B29" s="169" t="str">
        <f>"(0.0192)"</f>
        <v>(0.0192)</v>
      </c>
    </row>
    <row r="30" spans="1:2" hidden="1" x14ac:dyDescent="0.25">
      <c r="B30" s="169"/>
    </row>
    <row r="31" spans="1:2" hidden="1" x14ac:dyDescent="0.25">
      <c r="A31" t="str">
        <f>"_ICountryCo_9"</f>
        <v>_ICountryCo_9</v>
      </c>
      <c r="B31" s="169" t="str">
        <f>"0.2116a"</f>
        <v>0.2116a</v>
      </c>
    </row>
    <row r="32" spans="1:2" hidden="1" x14ac:dyDescent="0.25">
      <c r="A32" t="str">
        <f>""</f>
        <v/>
      </c>
      <c r="B32" s="169" t="str">
        <f>"(0.0381)"</f>
        <v>(0.0381)</v>
      </c>
    </row>
    <row r="33" spans="1:2" hidden="1" x14ac:dyDescent="0.25">
      <c r="B33" s="169"/>
    </row>
    <row r="34" spans="1:2" hidden="1" x14ac:dyDescent="0.25">
      <c r="A34" t="str">
        <f>"_ICountryCo_10"</f>
        <v>_ICountryCo_10</v>
      </c>
      <c r="B34" s="169" t="str">
        <f>"0.2524a"</f>
        <v>0.2524a</v>
      </c>
    </row>
    <row r="35" spans="1:2" hidden="1" x14ac:dyDescent="0.25">
      <c r="A35" t="str">
        <f>""</f>
        <v/>
      </c>
      <c r="B35" s="169" t="str">
        <f>"(0.0554)"</f>
        <v>(0.0554)</v>
      </c>
    </row>
    <row r="36" spans="1:2" hidden="1" x14ac:dyDescent="0.25">
      <c r="B36" s="169"/>
    </row>
    <row r="37" spans="1:2" hidden="1" x14ac:dyDescent="0.25">
      <c r="A37" t="str">
        <f>"_ICountryCo_11"</f>
        <v>_ICountryCo_11</v>
      </c>
      <c r="B37" s="169" t="str">
        <f>"0.9579a"</f>
        <v>0.9579a</v>
      </c>
    </row>
    <row r="38" spans="1:2" hidden="1" x14ac:dyDescent="0.25">
      <c r="A38" t="str">
        <f>""</f>
        <v/>
      </c>
      <c r="B38" s="169" t="str">
        <f>"(0.0993)"</f>
        <v>(0.0993)</v>
      </c>
    </row>
    <row r="39" spans="1:2" hidden="1" x14ac:dyDescent="0.25">
      <c r="B39" s="169"/>
    </row>
    <row r="40" spans="1:2" hidden="1" x14ac:dyDescent="0.25">
      <c r="A40" t="str">
        <f>"_ICountryCo_12"</f>
        <v>_ICountryCo_12</v>
      </c>
      <c r="B40" s="169" t="str">
        <f>"-0.3047a"</f>
        <v>-0.3047a</v>
      </c>
    </row>
    <row r="41" spans="1:2" hidden="1" x14ac:dyDescent="0.25">
      <c r="A41" t="str">
        <f>""</f>
        <v/>
      </c>
      <c r="B41" s="169" t="str">
        <f>"(0.0941)"</f>
        <v>(0.0941)</v>
      </c>
    </row>
    <row r="42" spans="1:2" hidden="1" x14ac:dyDescent="0.25">
      <c r="B42" s="169"/>
    </row>
    <row r="43" spans="1:2" hidden="1" x14ac:dyDescent="0.25">
      <c r="A43" t="str">
        <f>"_ICountryCo_13"</f>
        <v>_ICountryCo_13</v>
      </c>
      <c r="B43" s="169" t="str">
        <f>"0.9012a"</f>
        <v>0.9012a</v>
      </c>
    </row>
    <row r="44" spans="1:2" hidden="1" x14ac:dyDescent="0.25">
      <c r="A44" t="str">
        <f>""</f>
        <v/>
      </c>
      <c r="B44" s="169" t="str">
        <f>"(0.0521)"</f>
        <v>(0.0521)</v>
      </c>
    </row>
    <row r="45" spans="1:2" hidden="1" x14ac:dyDescent="0.25">
      <c r="B45" s="169"/>
    </row>
    <row r="46" spans="1:2" hidden="1" x14ac:dyDescent="0.25">
      <c r="A46" t="str">
        <f>"_ICountryCo_14"</f>
        <v>_ICountryCo_14</v>
      </c>
      <c r="B46" s="169" t="str">
        <f>"0.7091a"</f>
        <v>0.7091a</v>
      </c>
    </row>
    <row r="47" spans="1:2" hidden="1" x14ac:dyDescent="0.25">
      <c r="A47" t="str">
        <f>""</f>
        <v/>
      </c>
      <c r="B47" s="169" t="str">
        <f>"(0.0622)"</f>
        <v>(0.0622)</v>
      </c>
    </row>
    <row r="48" spans="1:2" hidden="1" x14ac:dyDescent="0.25">
      <c r="B48" s="169"/>
    </row>
    <row r="49" spans="1:2" hidden="1" x14ac:dyDescent="0.25">
      <c r="A49" t="str">
        <f>"_ICountryCo_15"</f>
        <v>_ICountryCo_15</v>
      </c>
      <c r="B49" s="169" t="str">
        <f>"0.3277a"</f>
        <v>0.3277a</v>
      </c>
    </row>
    <row r="50" spans="1:2" hidden="1" x14ac:dyDescent="0.25">
      <c r="A50" t="str">
        <f>""</f>
        <v/>
      </c>
      <c r="B50" s="169" t="str">
        <f>"(0.0494)"</f>
        <v>(0.0494)</v>
      </c>
    </row>
    <row r="51" spans="1:2" hidden="1" x14ac:dyDescent="0.25">
      <c r="B51" s="169"/>
    </row>
    <row r="52" spans="1:2" hidden="1" x14ac:dyDescent="0.25">
      <c r="A52" t="str">
        <f>"_ICountryCo_16"</f>
        <v>_ICountryCo_16</v>
      </c>
      <c r="B52" s="169" t="str">
        <f>"0.2294a"</f>
        <v>0.2294a</v>
      </c>
    </row>
    <row r="53" spans="1:2" hidden="1" x14ac:dyDescent="0.25">
      <c r="A53" t="str">
        <f>""</f>
        <v/>
      </c>
      <c r="B53" s="169" t="str">
        <f>"(0.0700)"</f>
        <v>(0.0700)</v>
      </c>
    </row>
    <row r="54" spans="1:2" hidden="1" x14ac:dyDescent="0.25">
      <c r="B54" s="169"/>
    </row>
    <row r="55" spans="1:2" hidden="1" x14ac:dyDescent="0.25">
      <c r="A55" t="str">
        <f>"_ICountryCo_17"</f>
        <v>_ICountryCo_17</v>
      </c>
      <c r="B55" s="169" t="str">
        <f>"0.1416a"</f>
        <v>0.1416a</v>
      </c>
    </row>
    <row r="56" spans="1:2" hidden="1" x14ac:dyDescent="0.25">
      <c r="A56" t="str">
        <f>""</f>
        <v/>
      </c>
      <c r="B56" s="169" t="str">
        <f>"(0.0473)"</f>
        <v>(0.0473)</v>
      </c>
    </row>
    <row r="57" spans="1:2" hidden="1" x14ac:dyDescent="0.25">
      <c r="B57" s="169"/>
    </row>
    <row r="58" spans="1:2" hidden="1" x14ac:dyDescent="0.25">
      <c r="A58" t="str">
        <f>"_ICountryCo_18"</f>
        <v>_ICountryCo_18</v>
      </c>
      <c r="B58" s="169" t="str">
        <f>"0.7427a"</f>
        <v>0.7427a</v>
      </c>
    </row>
    <row r="59" spans="1:2" hidden="1" x14ac:dyDescent="0.25">
      <c r="A59" t="str">
        <f>""</f>
        <v/>
      </c>
      <c r="B59" s="169" t="str">
        <f>"(0.0933)"</f>
        <v>(0.0933)</v>
      </c>
    </row>
    <row r="60" spans="1:2" hidden="1" x14ac:dyDescent="0.25">
      <c r="B60" s="169"/>
    </row>
    <row r="61" spans="1:2" hidden="1" x14ac:dyDescent="0.25">
      <c r="A61" t="str">
        <f>"_ICountryCo_19"</f>
        <v>_ICountryCo_19</v>
      </c>
      <c r="B61" s="169" t="str">
        <f>"0.0068"</f>
        <v>0.0068</v>
      </c>
    </row>
    <row r="62" spans="1:2" hidden="1" x14ac:dyDescent="0.25">
      <c r="A62" t="str">
        <f>""</f>
        <v/>
      </c>
      <c r="B62" s="169" t="str">
        <f>"(0.0550)"</f>
        <v>(0.0550)</v>
      </c>
    </row>
    <row r="63" spans="1:2" hidden="1" x14ac:dyDescent="0.25">
      <c r="B63" s="169"/>
    </row>
    <row r="64" spans="1:2" hidden="1" x14ac:dyDescent="0.25">
      <c r="A64" t="str">
        <f>"_ICountryCo_20"</f>
        <v>_ICountryCo_20</v>
      </c>
      <c r="B64" s="169" t="str">
        <f>"-0.2856a"</f>
        <v>-0.2856a</v>
      </c>
    </row>
    <row r="65" spans="1:2" hidden="1" x14ac:dyDescent="0.25">
      <c r="A65" t="str">
        <f>""</f>
        <v/>
      </c>
      <c r="B65" s="169" t="str">
        <f>"(0.0144)"</f>
        <v>(0.0144)</v>
      </c>
    </row>
    <row r="66" spans="1:2" hidden="1" x14ac:dyDescent="0.25">
      <c r="B66" s="169"/>
    </row>
    <row r="67" spans="1:2" hidden="1" x14ac:dyDescent="0.25">
      <c r="A67" t="str">
        <f>"_ICountryCo_21"</f>
        <v>_ICountryCo_21</v>
      </c>
      <c r="B67" s="169" t="str">
        <f>"0.7254a"</f>
        <v>0.7254a</v>
      </c>
    </row>
    <row r="68" spans="1:2" hidden="1" x14ac:dyDescent="0.25">
      <c r="A68" t="str">
        <f>""</f>
        <v/>
      </c>
      <c r="B68" s="169" t="str">
        <f>"(0.0959)"</f>
        <v>(0.0959)</v>
      </c>
    </row>
    <row r="69" spans="1:2" hidden="1" x14ac:dyDescent="0.25">
      <c r="B69" s="169"/>
    </row>
    <row r="70" spans="1:2" hidden="1" x14ac:dyDescent="0.25">
      <c r="A70" t="str">
        <f>"_ICountryCo_22"</f>
        <v>_ICountryCo_22</v>
      </c>
      <c r="B70" s="169" t="str">
        <f>"0.2477a"</f>
        <v>0.2477a</v>
      </c>
    </row>
    <row r="71" spans="1:2" hidden="1" x14ac:dyDescent="0.25">
      <c r="A71" t="str">
        <f>""</f>
        <v/>
      </c>
      <c r="B71" s="169" t="str">
        <f>"(0.0627)"</f>
        <v>(0.0627)</v>
      </c>
    </row>
    <row r="72" spans="1:2" hidden="1" x14ac:dyDescent="0.25">
      <c r="B72" s="169"/>
    </row>
    <row r="73" spans="1:2" hidden="1" x14ac:dyDescent="0.25">
      <c r="A73" t="str">
        <f>"_ICountryCo_23"</f>
        <v>_ICountryCo_23</v>
      </c>
      <c r="B73" s="169" t="str">
        <f>"0.0532"</f>
        <v>0.0532</v>
      </c>
    </row>
    <row r="74" spans="1:2" hidden="1" x14ac:dyDescent="0.25">
      <c r="A74" t="str">
        <f>""</f>
        <v/>
      </c>
      <c r="B74" s="169" t="str">
        <f>"(0.0439)"</f>
        <v>(0.0439)</v>
      </c>
    </row>
    <row r="75" spans="1:2" hidden="1" x14ac:dyDescent="0.25">
      <c r="B75" s="169"/>
    </row>
    <row r="76" spans="1:2" hidden="1" x14ac:dyDescent="0.25">
      <c r="A76" t="str">
        <f>"_ICountryCo_24"</f>
        <v>_ICountryCo_24</v>
      </c>
      <c r="B76" s="169" t="str">
        <f>"0.3823a"</f>
        <v>0.3823a</v>
      </c>
    </row>
    <row r="77" spans="1:2" hidden="1" x14ac:dyDescent="0.25">
      <c r="A77" t="str">
        <f>""</f>
        <v/>
      </c>
      <c r="B77" s="169" t="str">
        <f>"(0.0504)"</f>
        <v>(0.0504)</v>
      </c>
    </row>
    <row r="78" spans="1:2" hidden="1" x14ac:dyDescent="0.25">
      <c r="B78" s="169"/>
    </row>
    <row r="79" spans="1:2" hidden="1" x14ac:dyDescent="0.25">
      <c r="A79" t="str">
        <f>"_ICountryCo_25"</f>
        <v>_ICountryCo_25</v>
      </c>
      <c r="B79" s="169" t="str">
        <f>"0.9791a"</f>
        <v>0.9791a</v>
      </c>
    </row>
    <row r="80" spans="1:2" hidden="1" x14ac:dyDescent="0.25">
      <c r="A80" t="str">
        <f>""</f>
        <v/>
      </c>
      <c r="B80" s="169" t="str">
        <f>"(0.0764)"</f>
        <v>(0.0764)</v>
      </c>
    </row>
    <row r="81" spans="1:2" hidden="1" x14ac:dyDescent="0.25">
      <c r="B81" s="169"/>
    </row>
    <row r="82" spans="1:2" hidden="1" x14ac:dyDescent="0.25">
      <c r="A82" t="str">
        <f>"_ICountryCo_26"</f>
        <v>_ICountryCo_26</v>
      </c>
      <c r="B82" s="169" t="str">
        <f>"-0.2667a"</f>
        <v>-0.2667a</v>
      </c>
    </row>
    <row r="83" spans="1:2" hidden="1" x14ac:dyDescent="0.25">
      <c r="A83" t="str">
        <f>""</f>
        <v/>
      </c>
      <c r="B83" s="169" t="str">
        <f>"(0.0379)"</f>
        <v>(0.0379)</v>
      </c>
    </row>
    <row r="84" spans="1:2" hidden="1" x14ac:dyDescent="0.25">
      <c r="B84" s="169"/>
    </row>
    <row r="85" spans="1:2" hidden="1" x14ac:dyDescent="0.25">
      <c r="A85" t="str">
        <f>"_ICountryCo_27"</f>
        <v>_ICountryCo_27</v>
      </c>
      <c r="B85" s="169" t="str">
        <f>"0.2213a"</f>
        <v>0.2213a</v>
      </c>
    </row>
    <row r="86" spans="1:2" hidden="1" x14ac:dyDescent="0.25">
      <c r="A86" t="str">
        <f>""</f>
        <v/>
      </c>
      <c r="B86" s="169" t="str">
        <f>"(0.0192)"</f>
        <v>(0.0192)</v>
      </c>
    </row>
    <row r="87" spans="1:2" hidden="1" x14ac:dyDescent="0.25">
      <c r="B87" s="169"/>
    </row>
    <row r="88" spans="1:2" hidden="1" x14ac:dyDescent="0.25">
      <c r="A88" t="str">
        <f>"_ICountryCo_28"</f>
        <v>_ICountryCo_28</v>
      </c>
      <c r="B88" s="169" t="str">
        <f>"0.3125a"</f>
        <v>0.3125a</v>
      </c>
    </row>
    <row r="89" spans="1:2" hidden="1" x14ac:dyDescent="0.25">
      <c r="A89" t="str">
        <f>""</f>
        <v/>
      </c>
      <c r="B89" s="169" t="str">
        <f>"(0.1100)"</f>
        <v>(0.1100)</v>
      </c>
    </row>
    <row r="90" spans="1:2" hidden="1" x14ac:dyDescent="0.25">
      <c r="B90" s="169"/>
    </row>
    <row r="91" spans="1:2" hidden="1" x14ac:dyDescent="0.25">
      <c r="A91" t="str">
        <f>"_ICountryCo_29"</f>
        <v>_ICountryCo_29</v>
      </c>
      <c r="B91" s="169" t="str">
        <f>"0.0179"</f>
        <v>0.0179</v>
      </c>
    </row>
    <row r="92" spans="1:2" hidden="1" x14ac:dyDescent="0.25">
      <c r="A92" t="str">
        <f>""</f>
        <v/>
      </c>
      <c r="B92" s="169" t="str">
        <f>"(0.0869)"</f>
        <v>(0.0869)</v>
      </c>
    </row>
    <row r="93" spans="1:2" hidden="1" x14ac:dyDescent="0.25">
      <c r="B93" s="169"/>
    </row>
    <row r="94" spans="1:2" hidden="1" x14ac:dyDescent="0.25">
      <c r="A94" t="str">
        <f>"_ICountryCo_30"</f>
        <v>_ICountryCo_30</v>
      </c>
      <c r="B94" s="169" t="str">
        <f>"0.3201a"</f>
        <v>0.3201a</v>
      </c>
    </row>
    <row r="95" spans="1:2" hidden="1" x14ac:dyDescent="0.25">
      <c r="A95" t="str">
        <f>""</f>
        <v/>
      </c>
      <c r="B95" s="169" t="str">
        <f>"(0.0748)"</f>
        <v>(0.0748)</v>
      </c>
    </row>
    <row r="96" spans="1:2" hidden="1" x14ac:dyDescent="0.25">
      <c r="B96" s="169"/>
    </row>
    <row r="97" spans="1:2" hidden="1" x14ac:dyDescent="0.25">
      <c r="A97" t="str">
        <f>"_ICountryCo_31"</f>
        <v>_ICountryCo_31</v>
      </c>
      <c r="B97" s="169" t="str">
        <f>"-0.1036a"</f>
        <v>-0.1036a</v>
      </c>
    </row>
    <row r="98" spans="1:2" hidden="1" x14ac:dyDescent="0.25">
      <c r="A98" t="str">
        <f>""</f>
        <v/>
      </c>
      <c r="B98" s="169" t="str">
        <f>"(0.0105)"</f>
        <v>(0.0105)</v>
      </c>
    </row>
    <row r="99" spans="1:2" hidden="1" x14ac:dyDescent="0.25">
      <c r="B99" s="169"/>
    </row>
    <row r="100" spans="1:2" hidden="1" x14ac:dyDescent="0.25">
      <c r="A100" t="str">
        <f>"_ICountryCo_32"</f>
        <v>_ICountryCo_32</v>
      </c>
      <c r="B100" s="169" t="str">
        <f>"-0.1967a"</f>
        <v>-0.1967a</v>
      </c>
    </row>
    <row r="101" spans="1:2" hidden="1" x14ac:dyDescent="0.25">
      <c r="A101" t="str">
        <f>""</f>
        <v/>
      </c>
      <c r="B101" s="169" t="str">
        <f>"(0.0376)"</f>
        <v>(0.0376)</v>
      </c>
    </row>
    <row r="102" spans="1:2" hidden="1" x14ac:dyDescent="0.25">
      <c r="B102" s="169"/>
    </row>
    <row r="103" spans="1:2" hidden="1" x14ac:dyDescent="0.25">
      <c r="A103" t="str">
        <f>"_ICountryCo_33"</f>
        <v>_ICountryCo_33</v>
      </c>
      <c r="B103" s="169" t="str">
        <f>"0.0577a"</f>
        <v>0.0577a</v>
      </c>
    </row>
    <row r="104" spans="1:2" hidden="1" x14ac:dyDescent="0.25">
      <c r="A104" t="str">
        <f>""</f>
        <v/>
      </c>
      <c r="B104" s="169" t="str">
        <f>"(0.0190)"</f>
        <v>(0.0190)</v>
      </c>
    </row>
    <row r="105" spans="1:2" hidden="1" x14ac:dyDescent="0.25">
      <c r="B105" s="169"/>
    </row>
    <row r="106" spans="1:2" hidden="1" x14ac:dyDescent="0.25">
      <c r="A106" t="str">
        <f>"_ICountryCo_34"</f>
        <v>_ICountryCo_34</v>
      </c>
      <c r="B106" s="169" t="str">
        <f>"-0.1367a"</f>
        <v>-0.1367a</v>
      </c>
    </row>
    <row r="107" spans="1:2" hidden="1" x14ac:dyDescent="0.25">
      <c r="A107" t="str">
        <f>""</f>
        <v/>
      </c>
      <c r="B107" s="169" t="str">
        <f>"(0.0501)"</f>
        <v>(0.0501)</v>
      </c>
    </row>
    <row r="108" spans="1:2" hidden="1" x14ac:dyDescent="0.25">
      <c r="B108" s="169"/>
    </row>
    <row r="109" spans="1:2" hidden="1" x14ac:dyDescent="0.25">
      <c r="A109" t="str">
        <f>"_ICountryCo_35"</f>
        <v>_ICountryCo_35</v>
      </c>
      <c r="B109" s="169" t="str">
        <f>"0.1122c"</f>
        <v>0.1122c</v>
      </c>
    </row>
    <row r="110" spans="1:2" hidden="1" x14ac:dyDescent="0.25">
      <c r="A110" t="str">
        <f>""</f>
        <v/>
      </c>
      <c r="B110" s="169" t="str">
        <f>"(0.0633)"</f>
        <v>(0.0633)</v>
      </c>
    </row>
    <row r="111" spans="1:2" hidden="1" x14ac:dyDescent="0.25">
      <c r="B111" s="169"/>
    </row>
    <row r="112" spans="1:2" hidden="1" x14ac:dyDescent="0.25">
      <c r="A112" t="str">
        <f>"_ICountryCo_36"</f>
        <v>_ICountryCo_36</v>
      </c>
      <c r="B112" s="169" t="str">
        <f>"0.1183b"</f>
        <v>0.1183b</v>
      </c>
    </row>
    <row r="113" spans="1:2" hidden="1" x14ac:dyDescent="0.25">
      <c r="A113" t="str">
        <f>""</f>
        <v/>
      </c>
      <c r="B113" s="169" t="str">
        <f>"(0.0555)"</f>
        <v>(0.0555)</v>
      </c>
    </row>
    <row r="114" spans="1:2" hidden="1" x14ac:dyDescent="0.25">
      <c r="B114" s="169"/>
    </row>
    <row r="115" spans="1:2" hidden="1" x14ac:dyDescent="0.25">
      <c r="A115" t="str">
        <f>"_ICountryCo_37"</f>
        <v>_ICountryCo_37</v>
      </c>
      <c r="B115" s="169" t="str">
        <f>"-0.2024a"</f>
        <v>-0.2024a</v>
      </c>
    </row>
    <row r="116" spans="1:2" hidden="1" x14ac:dyDescent="0.25">
      <c r="A116" t="str">
        <f>""</f>
        <v/>
      </c>
      <c r="B116" s="169" t="str">
        <f>"(0.0667)"</f>
        <v>(0.0667)</v>
      </c>
    </row>
    <row r="117" spans="1:2" hidden="1" x14ac:dyDescent="0.25">
      <c r="B117" s="169"/>
    </row>
    <row r="118" spans="1:2" hidden="1" x14ac:dyDescent="0.25">
      <c r="A118" t="str">
        <f>"_ICountryCo_38"</f>
        <v>_ICountryCo_38</v>
      </c>
      <c r="B118" s="169" t="str">
        <f>"-0.1451a"</f>
        <v>-0.1451a</v>
      </c>
    </row>
    <row r="119" spans="1:2" hidden="1" x14ac:dyDescent="0.25">
      <c r="A119" t="str">
        <f>""</f>
        <v/>
      </c>
      <c r="B119" s="169" t="str">
        <f>"(0.0369)"</f>
        <v>(0.0369)</v>
      </c>
    </row>
    <row r="120" spans="1:2" hidden="1" x14ac:dyDescent="0.25">
      <c r="B120" s="169"/>
    </row>
    <row r="121" spans="1:2" hidden="1" x14ac:dyDescent="0.25">
      <c r="A121" t="str">
        <f>"_ICountryCo_39"</f>
        <v>_ICountryCo_39</v>
      </c>
      <c r="B121" s="169" t="str">
        <f>"0.3926a"</f>
        <v>0.3926a</v>
      </c>
    </row>
    <row r="122" spans="1:2" hidden="1" x14ac:dyDescent="0.25">
      <c r="A122" t="str">
        <f>""</f>
        <v/>
      </c>
      <c r="B122" s="169" t="str">
        <f>"(0.0453)"</f>
        <v>(0.0453)</v>
      </c>
    </row>
    <row r="123" spans="1:2" hidden="1" x14ac:dyDescent="0.25">
      <c r="B123" s="169"/>
    </row>
    <row r="124" spans="1:2" hidden="1" x14ac:dyDescent="0.25">
      <c r="A124" t="str">
        <f>"_ICountryCo_40"</f>
        <v>_ICountryCo_40</v>
      </c>
      <c r="B124" s="169" t="str">
        <f>"0.0909"</f>
        <v>0.0909</v>
      </c>
    </row>
    <row r="125" spans="1:2" hidden="1" x14ac:dyDescent="0.25">
      <c r="A125" t="str">
        <f>""</f>
        <v/>
      </c>
      <c r="B125" s="169" t="str">
        <f>"(0.1044)"</f>
        <v>(0.1044)</v>
      </c>
    </row>
    <row r="126" spans="1:2" hidden="1" x14ac:dyDescent="0.25">
      <c r="B126" s="169"/>
    </row>
    <row r="127" spans="1:2" hidden="1" x14ac:dyDescent="0.25">
      <c r="A127" t="str">
        <f>"_ICountryCo_41"</f>
        <v>_ICountryCo_41</v>
      </c>
      <c r="B127" s="169" t="str">
        <f>"0.0207"</f>
        <v>0.0207</v>
      </c>
    </row>
    <row r="128" spans="1:2" hidden="1" x14ac:dyDescent="0.25">
      <c r="A128" t="str">
        <f>""</f>
        <v/>
      </c>
      <c r="B128" s="169" t="str">
        <f>"(0.0272)"</f>
        <v>(0.0272)</v>
      </c>
    </row>
    <row r="129" spans="1:2" hidden="1" x14ac:dyDescent="0.25">
      <c r="B129" s="169"/>
    </row>
    <row r="130" spans="1:2" hidden="1" x14ac:dyDescent="0.25">
      <c r="A130" t="str">
        <f>"_ICountryCo_42"</f>
        <v>_ICountryCo_42</v>
      </c>
      <c r="B130" s="169" t="str">
        <f>"0.5184a"</f>
        <v>0.5184a</v>
      </c>
    </row>
    <row r="131" spans="1:2" hidden="1" x14ac:dyDescent="0.25">
      <c r="A131" t="str">
        <f>""</f>
        <v/>
      </c>
      <c r="B131" s="169" t="str">
        <f>"(0.1042)"</f>
        <v>(0.1042)</v>
      </c>
    </row>
    <row r="132" spans="1:2" hidden="1" x14ac:dyDescent="0.25">
      <c r="B132" s="169"/>
    </row>
    <row r="133" spans="1:2" hidden="1" x14ac:dyDescent="0.25">
      <c r="A133" t="str">
        <f>"_ICountryCo_43"</f>
        <v>_ICountryCo_43</v>
      </c>
      <c r="B133" s="169" t="str">
        <f>"0.0403"</f>
        <v>0.0403</v>
      </c>
    </row>
    <row r="134" spans="1:2" hidden="1" x14ac:dyDescent="0.25">
      <c r="A134" t="str">
        <f>""</f>
        <v/>
      </c>
      <c r="B134" s="169" t="str">
        <f>"(0.1201)"</f>
        <v>(0.1201)</v>
      </c>
    </row>
    <row r="135" spans="1:2" hidden="1" x14ac:dyDescent="0.25">
      <c r="B135" s="169"/>
    </row>
    <row r="136" spans="1:2" hidden="1" x14ac:dyDescent="0.25">
      <c r="A136" t="str">
        <f>"_ICountryCo_44"</f>
        <v>_ICountryCo_44</v>
      </c>
      <c r="B136" s="169" t="str">
        <f>"0.2787a"</f>
        <v>0.2787a</v>
      </c>
    </row>
    <row r="137" spans="1:2" hidden="1" x14ac:dyDescent="0.25">
      <c r="A137" t="str">
        <f>""</f>
        <v/>
      </c>
      <c r="B137" s="169" t="str">
        <f>"(0.0417)"</f>
        <v>(0.0417)</v>
      </c>
    </row>
    <row r="138" spans="1:2" hidden="1" x14ac:dyDescent="0.25">
      <c r="B138" s="169"/>
    </row>
    <row r="139" spans="1:2" hidden="1" x14ac:dyDescent="0.25">
      <c r="A139" t="str">
        <f>"_ICountryCo_45"</f>
        <v>_ICountryCo_45</v>
      </c>
      <c r="B139" s="169" t="str">
        <f>"0.5988a"</f>
        <v>0.5988a</v>
      </c>
    </row>
    <row r="140" spans="1:2" hidden="1" x14ac:dyDescent="0.25">
      <c r="A140" t="str">
        <f>""</f>
        <v/>
      </c>
      <c r="B140" s="169" t="str">
        <f>"(0.0277)"</f>
        <v>(0.0277)</v>
      </c>
    </row>
    <row r="141" spans="1:2" hidden="1" x14ac:dyDescent="0.25">
      <c r="B141" s="169"/>
    </row>
    <row r="142" spans="1:2" hidden="1" x14ac:dyDescent="0.25">
      <c r="A142" t="str">
        <f>"_ICountryCo_46"</f>
        <v>_ICountryCo_46</v>
      </c>
      <c r="B142" s="169" t="str">
        <f>"-0.0775"</f>
        <v>-0.0775</v>
      </c>
    </row>
    <row r="143" spans="1:2" hidden="1" x14ac:dyDescent="0.25">
      <c r="A143" t="str">
        <f>""</f>
        <v/>
      </c>
      <c r="B143" s="169" t="str">
        <f>"(0.0645)"</f>
        <v>(0.0645)</v>
      </c>
    </row>
    <row r="144" spans="1:2" hidden="1" x14ac:dyDescent="0.25">
      <c r="B144" s="169"/>
    </row>
    <row r="145" spans="1:2" hidden="1" x14ac:dyDescent="0.25">
      <c r="A145" t="str">
        <f>"_ICountryCo_47"</f>
        <v>_ICountryCo_47</v>
      </c>
      <c r="B145" s="169" t="str">
        <f>"0.3478a"</f>
        <v>0.3478a</v>
      </c>
    </row>
    <row r="146" spans="1:2" hidden="1" x14ac:dyDescent="0.25">
      <c r="A146" t="str">
        <f>""</f>
        <v/>
      </c>
      <c r="B146" s="169" t="str">
        <f>"(0.0194)"</f>
        <v>(0.0194)</v>
      </c>
    </row>
    <row r="147" spans="1:2" hidden="1" x14ac:dyDescent="0.25">
      <c r="B147" s="169"/>
    </row>
    <row r="148" spans="1:2" hidden="1" x14ac:dyDescent="0.25">
      <c r="A148" t="str">
        <f>"_ICountryCo_48"</f>
        <v>_ICountryCo_48</v>
      </c>
      <c r="B148" s="169" t="str">
        <f>"0.0687b"</f>
        <v>0.0687b</v>
      </c>
    </row>
    <row r="149" spans="1:2" hidden="1" x14ac:dyDescent="0.25">
      <c r="A149" t="str">
        <f>""</f>
        <v/>
      </c>
      <c r="B149" s="169" t="str">
        <f>"(0.0304)"</f>
        <v>(0.0304)</v>
      </c>
    </row>
    <row r="150" spans="1:2" hidden="1" x14ac:dyDescent="0.25">
      <c r="B150" s="169"/>
    </row>
    <row r="151" spans="1:2" hidden="1" x14ac:dyDescent="0.25">
      <c r="A151" t="str">
        <f>"_ICountryCo_49"</f>
        <v>_ICountryCo_49</v>
      </c>
      <c r="B151" s="169" t="str">
        <f>"-0.0353b"</f>
        <v>-0.0353b</v>
      </c>
    </row>
    <row r="152" spans="1:2" hidden="1" x14ac:dyDescent="0.25">
      <c r="A152" t="str">
        <f>""</f>
        <v/>
      </c>
      <c r="B152" s="169" t="str">
        <f>"(0.0134)"</f>
        <v>(0.0134)</v>
      </c>
    </row>
    <row r="153" spans="1:2" hidden="1" x14ac:dyDescent="0.25">
      <c r="B153" s="169"/>
    </row>
    <row r="154" spans="1:2" hidden="1" x14ac:dyDescent="0.25">
      <c r="A154" t="str">
        <f>"_ICountryCo_50"</f>
        <v>_ICountryCo_50</v>
      </c>
      <c r="B154" s="169" t="str">
        <f>"-0.1524c"</f>
        <v>-0.1524c</v>
      </c>
    </row>
    <row r="155" spans="1:2" hidden="1" x14ac:dyDescent="0.25">
      <c r="A155" t="str">
        <f>""</f>
        <v/>
      </c>
      <c r="B155" s="169" t="str">
        <f>"(0.0835)"</f>
        <v>(0.0835)</v>
      </c>
    </row>
    <row r="156" spans="1:2" hidden="1" x14ac:dyDescent="0.25">
      <c r="B156" s="169"/>
    </row>
    <row r="157" spans="1:2" hidden="1" x14ac:dyDescent="0.25">
      <c r="A157" t="str">
        <f>"_ICountryCo_51"</f>
        <v>_ICountryCo_51</v>
      </c>
      <c r="B157" s="169" t="str">
        <f>"0.5317a"</f>
        <v>0.5317a</v>
      </c>
    </row>
    <row r="158" spans="1:2" hidden="1" x14ac:dyDescent="0.25">
      <c r="A158" t="str">
        <f>""</f>
        <v/>
      </c>
      <c r="B158" s="169" t="str">
        <f>"(0.0919)"</f>
        <v>(0.0919)</v>
      </c>
    </row>
    <row r="159" spans="1:2" hidden="1" x14ac:dyDescent="0.25">
      <c r="B159" s="169"/>
    </row>
    <row r="160" spans="1:2" hidden="1" x14ac:dyDescent="0.25">
      <c r="A160" t="str">
        <f>"_ICountryCo_52"</f>
        <v>_ICountryCo_52</v>
      </c>
      <c r="B160" s="169" t="str">
        <f>"-0.3048a"</f>
        <v>-0.3048a</v>
      </c>
    </row>
    <row r="161" spans="1:2" hidden="1" x14ac:dyDescent="0.25">
      <c r="A161" t="str">
        <f>""</f>
        <v/>
      </c>
      <c r="B161" s="169" t="str">
        <f>"(0.0290)"</f>
        <v>(0.0290)</v>
      </c>
    </row>
    <row r="162" spans="1:2" hidden="1" x14ac:dyDescent="0.25">
      <c r="B162" s="169"/>
    </row>
    <row r="163" spans="1:2" hidden="1" x14ac:dyDescent="0.25">
      <c r="A163" t="str">
        <f>"_ICountryCo_53"</f>
        <v>_ICountryCo_53</v>
      </c>
      <c r="B163" s="169" t="str">
        <f>"0.2881a"</f>
        <v>0.2881a</v>
      </c>
    </row>
    <row r="164" spans="1:2" hidden="1" x14ac:dyDescent="0.25">
      <c r="A164" t="str">
        <f>""</f>
        <v/>
      </c>
      <c r="B164" s="169" t="str">
        <f>"(0.0689)"</f>
        <v>(0.0689)</v>
      </c>
    </row>
    <row r="165" spans="1:2" hidden="1" x14ac:dyDescent="0.25">
      <c r="B165" s="169"/>
    </row>
    <row r="166" spans="1:2" hidden="1" x14ac:dyDescent="0.25">
      <c r="A166" t="str">
        <f>"_ICountryCo_54"</f>
        <v>_ICountryCo_54</v>
      </c>
      <c r="B166" s="169" t="str">
        <f>"0.3619a"</f>
        <v>0.3619a</v>
      </c>
    </row>
    <row r="167" spans="1:2" hidden="1" x14ac:dyDescent="0.25">
      <c r="A167" t="str">
        <f>""</f>
        <v/>
      </c>
      <c r="B167" s="169" t="str">
        <f>"(0.0601)"</f>
        <v>(0.0601)</v>
      </c>
    </row>
    <row r="168" spans="1:2" hidden="1" x14ac:dyDescent="0.25">
      <c r="B168" s="169"/>
    </row>
    <row r="169" spans="1:2" hidden="1" x14ac:dyDescent="0.25">
      <c r="A169" t="str">
        <f>"_ICountryCo_55"</f>
        <v>_ICountryCo_55</v>
      </c>
      <c r="B169" s="169" t="str">
        <f>"-0.0525"</f>
        <v>-0.0525</v>
      </c>
    </row>
    <row r="170" spans="1:2" hidden="1" x14ac:dyDescent="0.25">
      <c r="A170" t="str">
        <f>""</f>
        <v/>
      </c>
      <c r="B170" s="169" t="str">
        <f>"(0.0455)"</f>
        <v>(0.0455)</v>
      </c>
    </row>
    <row r="171" spans="1:2" hidden="1" x14ac:dyDescent="0.25">
      <c r="B171" s="169"/>
    </row>
    <row r="172" spans="1:2" hidden="1" x14ac:dyDescent="0.25">
      <c r="A172" t="str">
        <f>"_ICountryCo_56"</f>
        <v>_ICountryCo_56</v>
      </c>
      <c r="B172" s="169" t="str">
        <f>"0.6034a"</f>
        <v>0.6034a</v>
      </c>
    </row>
    <row r="173" spans="1:2" hidden="1" x14ac:dyDescent="0.25">
      <c r="A173" t="str">
        <f>""</f>
        <v/>
      </c>
      <c r="B173" s="169" t="str">
        <f>"(0.0573)"</f>
        <v>(0.0573)</v>
      </c>
    </row>
    <row r="174" spans="1:2" hidden="1" x14ac:dyDescent="0.25">
      <c r="B174" s="169"/>
    </row>
    <row r="175" spans="1:2" hidden="1" x14ac:dyDescent="0.25">
      <c r="A175" t="str">
        <f>"_ICountryCo_57"</f>
        <v>_ICountryCo_57</v>
      </c>
      <c r="B175" s="169" t="str">
        <f>"0.3624a"</f>
        <v>0.3624a</v>
      </c>
    </row>
    <row r="176" spans="1:2" hidden="1" x14ac:dyDescent="0.25">
      <c r="A176" t="str">
        <f>""</f>
        <v/>
      </c>
      <c r="B176" s="169" t="str">
        <f>"(0.0637)"</f>
        <v>(0.0637)</v>
      </c>
    </row>
    <row r="177" spans="1:2" hidden="1" x14ac:dyDescent="0.25">
      <c r="B177" s="169"/>
    </row>
    <row r="178" spans="1:2" hidden="1" x14ac:dyDescent="0.25">
      <c r="A178" t="str">
        <f>"_ICountryCo_58"</f>
        <v>_ICountryCo_58</v>
      </c>
      <c r="B178" s="169" t="str">
        <f>"0.1382c"</f>
        <v>0.1382c</v>
      </c>
    </row>
    <row r="179" spans="1:2" hidden="1" x14ac:dyDescent="0.25">
      <c r="A179" t="str">
        <f>""</f>
        <v/>
      </c>
      <c r="B179" s="169" t="str">
        <f>"(0.0795)"</f>
        <v>(0.0795)</v>
      </c>
    </row>
    <row r="180" spans="1:2" hidden="1" x14ac:dyDescent="0.25">
      <c r="B180" s="169"/>
    </row>
    <row r="181" spans="1:2" hidden="1" x14ac:dyDescent="0.25">
      <c r="A181" t="str">
        <f>"_ICountryCo_59"</f>
        <v>_ICountryCo_59</v>
      </c>
      <c r="B181" s="169" t="str">
        <f>"0.2231a"</f>
        <v>0.2231a</v>
      </c>
    </row>
    <row r="182" spans="1:2" hidden="1" x14ac:dyDescent="0.25">
      <c r="A182" t="str">
        <f>""</f>
        <v/>
      </c>
      <c r="B182" s="169" t="str">
        <f>"(0.0087)"</f>
        <v>(0.0087)</v>
      </c>
    </row>
    <row r="183" spans="1:2" hidden="1" x14ac:dyDescent="0.25">
      <c r="B183" s="169"/>
    </row>
    <row r="184" spans="1:2" hidden="1" x14ac:dyDescent="0.25">
      <c r="A184" t="str">
        <f>"_ICountryCo_60"</f>
        <v>_ICountryCo_60</v>
      </c>
      <c r="B184" s="169" t="str">
        <f>"0.9829a"</f>
        <v>0.9829a</v>
      </c>
    </row>
    <row r="185" spans="1:2" hidden="1" x14ac:dyDescent="0.25">
      <c r="A185" t="str">
        <f>""</f>
        <v/>
      </c>
      <c r="B185" s="169" t="str">
        <f>"(0.0549)"</f>
        <v>(0.0549)</v>
      </c>
    </row>
    <row r="186" spans="1:2" hidden="1" x14ac:dyDescent="0.25">
      <c r="B186" s="169"/>
    </row>
    <row r="187" spans="1:2" hidden="1" x14ac:dyDescent="0.25">
      <c r="A187" t="str">
        <f>"_ICountryCo_61"</f>
        <v>_ICountryCo_61</v>
      </c>
      <c r="B187" s="169" t="str">
        <f>"0.3828a"</f>
        <v>0.3828a</v>
      </c>
    </row>
    <row r="188" spans="1:2" hidden="1" x14ac:dyDescent="0.25">
      <c r="A188" t="str">
        <f>""</f>
        <v/>
      </c>
      <c r="B188" s="169" t="str">
        <f>"(0.0333)"</f>
        <v>(0.0333)</v>
      </c>
    </row>
    <row r="189" spans="1:2" hidden="1" x14ac:dyDescent="0.25">
      <c r="B189" s="169"/>
    </row>
    <row r="190" spans="1:2" hidden="1" x14ac:dyDescent="0.25">
      <c r="A190" t="str">
        <f>"_ICountryCo_62"</f>
        <v>_ICountryCo_62</v>
      </c>
      <c r="B190" s="169" t="str">
        <f>"0.3844a"</f>
        <v>0.3844a</v>
      </c>
    </row>
    <row r="191" spans="1:2" hidden="1" x14ac:dyDescent="0.25">
      <c r="A191" t="str">
        <f>""</f>
        <v/>
      </c>
      <c r="B191" s="169" t="str">
        <f>"(0.0550)"</f>
        <v>(0.0550)</v>
      </c>
    </row>
    <row r="192" spans="1:2" hidden="1" x14ac:dyDescent="0.25">
      <c r="B192" s="169"/>
    </row>
    <row r="193" spans="1:2" hidden="1" x14ac:dyDescent="0.25">
      <c r="A193" t="str">
        <f>"_ICountryCo_63"</f>
        <v>_ICountryCo_63</v>
      </c>
      <c r="B193" s="169" t="str">
        <f>"-0.3016a"</f>
        <v>-0.3016a</v>
      </c>
    </row>
    <row r="194" spans="1:2" hidden="1" x14ac:dyDescent="0.25">
      <c r="A194" t="str">
        <f>""</f>
        <v/>
      </c>
      <c r="B194" s="169" t="str">
        <f>"(0.0387)"</f>
        <v>(0.0387)</v>
      </c>
    </row>
    <row r="195" spans="1:2" hidden="1" x14ac:dyDescent="0.25">
      <c r="B195" s="169"/>
    </row>
    <row r="196" spans="1:2" hidden="1" x14ac:dyDescent="0.25">
      <c r="A196" t="str">
        <f>"_ICountryCo_64"</f>
        <v>_ICountryCo_64</v>
      </c>
      <c r="B196" s="169" t="str">
        <f>"-0.0531"</f>
        <v>-0.0531</v>
      </c>
    </row>
    <row r="197" spans="1:2" hidden="1" x14ac:dyDescent="0.25">
      <c r="A197" t="str">
        <f>""</f>
        <v/>
      </c>
      <c r="B197" s="169" t="str">
        <f>"(0.0484)"</f>
        <v>(0.0484)</v>
      </c>
    </row>
    <row r="198" spans="1:2" hidden="1" x14ac:dyDescent="0.25">
      <c r="B198" s="169"/>
    </row>
    <row r="199" spans="1:2" hidden="1" x14ac:dyDescent="0.25">
      <c r="A199" t="str">
        <f>"_ICountryCo_65"</f>
        <v>_ICountryCo_65</v>
      </c>
      <c r="B199" s="169" t="str">
        <f>"-0.8441a"</f>
        <v>-0.8441a</v>
      </c>
    </row>
    <row r="200" spans="1:2" hidden="1" x14ac:dyDescent="0.25">
      <c r="A200" t="str">
        <f>""</f>
        <v/>
      </c>
      <c r="B200" s="169" t="str">
        <f>"(0.0098)"</f>
        <v>(0.0098)</v>
      </c>
    </row>
    <row r="201" spans="1:2" hidden="1" x14ac:dyDescent="0.25">
      <c r="B201" s="169"/>
    </row>
    <row r="202" spans="1:2" hidden="1" x14ac:dyDescent="0.25">
      <c r="A202" t="str">
        <f>"_ICountryCo_66"</f>
        <v>_ICountryCo_66</v>
      </c>
      <c r="B202" s="169" t="str">
        <f>"1.0027a"</f>
        <v>1.0027a</v>
      </c>
    </row>
    <row r="203" spans="1:2" hidden="1" x14ac:dyDescent="0.25">
      <c r="A203" t="str">
        <f>""</f>
        <v/>
      </c>
      <c r="B203" s="169" t="str">
        <f>"(0.0864)"</f>
        <v>(0.0864)</v>
      </c>
    </row>
    <row r="204" spans="1:2" hidden="1" x14ac:dyDescent="0.25">
      <c r="B204" s="169"/>
    </row>
    <row r="205" spans="1:2" hidden="1" x14ac:dyDescent="0.25">
      <c r="A205" t="str">
        <f>"_ICountryCo_67"</f>
        <v>_ICountryCo_67</v>
      </c>
      <c r="B205" s="169" t="str">
        <f>"0.1462a"</f>
        <v>0.1462a</v>
      </c>
    </row>
    <row r="206" spans="1:2" hidden="1" x14ac:dyDescent="0.25">
      <c r="A206" t="str">
        <f>""</f>
        <v/>
      </c>
      <c r="B206" s="169" t="str">
        <f>"(0.0297)"</f>
        <v>(0.0297)</v>
      </c>
    </row>
    <row r="207" spans="1:2" hidden="1" x14ac:dyDescent="0.25">
      <c r="B207" s="169"/>
    </row>
    <row r="208" spans="1:2" hidden="1" x14ac:dyDescent="0.25">
      <c r="A208" t="str">
        <f>"_ICountryCo_68"</f>
        <v>_ICountryCo_68</v>
      </c>
      <c r="B208" s="169" t="str">
        <f>"0.0853"</f>
        <v>0.0853</v>
      </c>
    </row>
    <row r="209" spans="1:2" hidden="1" x14ac:dyDescent="0.25">
      <c r="A209" t="str">
        <f>""</f>
        <v/>
      </c>
      <c r="B209" s="169" t="str">
        <f>"(0.0738)"</f>
        <v>(0.0738)</v>
      </c>
    </row>
    <row r="210" spans="1:2" hidden="1" x14ac:dyDescent="0.25">
      <c r="B210" s="169"/>
    </row>
    <row r="211" spans="1:2" ht="17.25" x14ac:dyDescent="0.25">
      <c r="A211" t="s">
        <v>46</v>
      </c>
      <c r="B211" s="170" t="s">
        <v>2096</v>
      </c>
    </row>
    <row r="212" spans="1:2" x14ac:dyDescent="0.25">
      <c r="A212" t="str">
        <f>""</f>
        <v/>
      </c>
      <c r="B212" s="169" t="str">
        <f>"(0.0749)"</f>
        <v>(0.0749)</v>
      </c>
    </row>
    <row r="213" spans="1:2" x14ac:dyDescent="0.25">
      <c r="B213" s="169"/>
    </row>
    <row r="214" spans="1:2" x14ac:dyDescent="0.25">
      <c r="A214" s="4" t="s">
        <v>45</v>
      </c>
      <c r="B214" s="41">
        <v>1287</v>
      </c>
    </row>
    <row r="215" spans="1:2" ht="17.25" x14ac:dyDescent="0.25">
      <c r="A215" s="8" t="s">
        <v>238</v>
      </c>
      <c r="B215" s="171">
        <v>2.5000000000000001E-2</v>
      </c>
    </row>
  </sheetData>
  <mergeCells count="2">
    <mergeCell ref="A1:B1"/>
    <mergeCell ref="A3:B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7" sqref="F7"/>
    </sheetView>
  </sheetViews>
  <sheetFormatPr defaultRowHeight="15" x14ac:dyDescent="0.25"/>
  <sheetData>
    <row r="1" spans="1:3" x14ac:dyDescent="0.25">
      <c r="A1" s="191" t="s">
        <v>2104</v>
      </c>
      <c r="B1" s="191"/>
      <c r="C1" s="191"/>
    </row>
    <row r="2" spans="1:3" x14ac:dyDescent="0.25">
      <c r="A2">
        <v>1</v>
      </c>
      <c r="B2" t="s">
        <v>2105</v>
      </c>
    </row>
    <row r="3" spans="1:3" x14ac:dyDescent="0.25">
      <c r="A3">
        <f>A2+1</f>
        <v>2</v>
      </c>
      <c r="B3" t="s">
        <v>2106</v>
      </c>
    </row>
    <row r="4" spans="1:3" x14ac:dyDescent="0.25">
      <c r="A4">
        <f t="shared" ref="A4:A7" si="0">A3+1</f>
        <v>3</v>
      </c>
      <c r="B4" t="s">
        <v>2107</v>
      </c>
    </row>
    <row r="5" spans="1:3" x14ac:dyDescent="0.25">
      <c r="A5">
        <f t="shared" si="0"/>
        <v>4</v>
      </c>
      <c r="B5" t="s">
        <v>2108</v>
      </c>
    </row>
    <row r="6" spans="1:3" x14ac:dyDescent="0.25">
      <c r="A6">
        <f t="shared" si="0"/>
        <v>5</v>
      </c>
      <c r="B6" t="s">
        <v>2109</v>
      </c>
    </row>
    <row r="7" spans="1:3" x14ac:dyDescent="0.25">
      <c r="A7">
        <f t="shared" si="0"/>
        <v>6</v>
      </c>
      <c r="B7" t="s">
        <v>2110</v>
      </c>
    </row>
  </sheetData>
  <customSheetViews>
    <customSheetView guid="{BF4B7214-A780-4E29-8376-D0EF10A37853}">
      <selection activeCell="J37" sqref="J37"/>
      <pageMargins left="0.7" right="0.7" top="0.75" bottom="0.75" header="0.3" footer="0.3"/>
    </customSheetView>
  </customSheetViews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7"/>
  <sheetViews>
    <sheetView view="pageBreakPreview" topLeftCell="A42" zoomScaleNormal="100" zoomScaleSheetLayoutView="100" workbookViewId="0">
      <selection activeCell="Y44" sqref="Y44"/>
    </sheetView>
  </sheetViews>
  <sheetFormatPr defaultRowHeight="15" x14ac:dyDescent="0.25"/>
  <cols>
    <col min="1" max="1" width="27.140625" customWidth="1"/>
    <col min="2" max="2" width="15" style="35" customWidth="1"/>
    <col min="3" max="3" width="23.42578125" style="154" customWidth="1"/>
    <col min="4" max="4" width="17.140625" style="154" customWidth="1"/>
    <col min="5" max="5" width="18.85546875" style="154" customWidth="1"/>
    <col min="6" max="6" width="18.85546875" style="154" hidden="1" customWidth="1"/>
    <col min="7" max="7" width="24" style="154" customWidth="1"/>
    <col min="8" max="8" width="17.5703125" hidden="1" customWidth="1"/>
    <col min="9" max="9" width="20.5703125" customWidth="1"/>
  </cols>
  <sheetData>
    <row r="1" spans="1:9" ht="15" customHeight="1" x14ac:dyDescent="0.25">
      <c r="A1" s="4"/>
      <c r="B1" s="181" t="s">
        <v>249</v>
      </c>
      <c r="C1" s="159" t="s">
        <v>182</v>
      </c>
      <c r="D1" s="156" t="s">
        <v>203</v>
      </c>
      <c r="E1" s="179" t="s">
        <v>181</v>
      </c>
      <c r="F1" s="182" t="s">
        <v>253</v>
      </c>
      <c r="G1" s="159" t="s">
        <v>182</v>
      </c>
      <c r="H1" s="159" t="s">
        <v>182</v>
      </c>
      <c r="I1" s="158" t="s">
        <v>248</v>
      </c>
    </row>
    <row r="2" spans="1:9" ht="15" customHeight="1" x14ac:dyDescent="0.25">
      <c r="A2" s="8" t="s">
        <v>2</v>
      </c>
      <c r="B2" s="180"/>
      <c r="C2" s="160" t="s">
        <v>183</v>
      </c>
      <c r="D2" s="157" t="s">
        <v>205</v>
      </c>
      <c r="E2" s="180"/>
      <c r="F2" s="183"/>
      <c r="G2" s="160" t="s">
        <v>206</v>
      </c>
      <c r="H2" s="52" t="s">
        <v>204</v>
      </c>
      <c r="I2" s="157" t="s">
        <v>247</v>
      </c>
    </row>
    <row r="3" spans="1:9" x14ac:dyDescent="0.25">
      <c r="A3" s="5" t="s">
        <v>12</v>
      </c>
      <c r="B3" s="13">
        <v>573.72726999999998</v>
      </c>
      <c r="C3" s="12">
        <v>35</v>
      </c>
      <c r="D3" s="12">
        <v>38.981349999999999</v>
      </c>
      <c r="E3" s="6">
        <v>8.4</v>
      </c>
      <c r="F3" s="6" t="s">
        <v>28</v>
      </c>
      <c r="G3" s="154" t="s">
        <v>28</v>
      </c>
      <c r="H3" s="17">
        <v>59.04</v>
      </c>
      <c r="I3" s="154">
        <v>1.537585</v>
      </c>
    </row>
    <row r="4" spans="1:9" x14ac:dyDescent="0.25">
      <c r="A4" s="5" t="s">
        <v>50</v>
      </c>
      <c r="B4" s="13">
        <v>599.18182000000002</v>
      </c>
      <c r="C4" s="12">
        <v>36</v>
      </c>
      <c r="D4" s="12">
        <v>30.741800000000001</v>
      </c>
      <c r="E4" s="12">
        <v>84.6</v>
      </c>
      <c r="F4" s="12" t="s">
        <v>28</v>
      </c>
      <c r="G4" s="154" t="s">
        <v>28</v>
      </c>
      <c r="H4" s="17">
        <v>41.64</v>
      </c>
      <c r="I4" s="154">
        <v>0.41736600000000001</v>
      </c>
    </row>
    <row r="5" spans="1:9" x14ac:dyDescent="0.25">
      <c r="A5" s="5" t="s">
        <v>51</v>
      </c>
      <c r="B5" s="13">
        <v>623.90908999999999</v>
      </c>
      <c r="C5" s="12" t="s">
        <v>28</v>
      </c>
      <c r="D5" s="12" t="s">
        <v>28</v>
      </c>
      <c r="E5" s="12" t="s">
        <v>28</v>
      </c>
      <c r="F5" s="12" t="s">
        <v>28</v>
      </c>
      <c r="G5" s="154" t="s">
        <v>28</v>
      </c>
      <c r="H5" s="17">
        <v>43.36</v>
      </c>
      <c r="I5" s="154" t="s">
        <v>28</v>
      </c>
    </row>
    <row r="6" spans="1:9" x14ac:dyDescent="0.25">
      <c r="A6" s="5" t="s">
        <v>17</v>
      </c>
      <c r="B6" s="13">
        <v>666.09091000000001</v>
      </c>
      <c r="C6" s="12" t="s">
        <v>28</v>
      </c>
      <c r="D6" s="12">
        <v>37.637169999999998</v>
      </c>
      <c r="E6" s="12" t="s">
        <v>28</v>
      </c>
      <c r="F6" s="12">
        <v>52</v>
      </c>
      <c r="G6" s="154" t="s">
        <v>28</v>
      </c>
      <c r="H6" s="17">
        <v>49.54</v>
      </c>
      <c r="I6" s="154" t="s">
        <v>28</v>
      </c>
    </row>
    <row r="7" spans="1:9" x14ac:dyDescent="0.25">
      <c r="A7" s="5" t="s">
        <v>16</v>
      </c>
      <c r="B7" s="13">
        <v>668.90908999999999</v>
      </c>
      <c r="C7" s="12">
        <v>34</v>
      </c>
      <c r="D7" s="12">
        <v>15.668519999999999</v>
      </c>
      <c r="E7" s="12" t="s">
        <v>28</v>
      </c>
      <c r="F7" s="12">
        <v>36</v>
      </c>
      <c r="G7" s="154" t="s">
        <v>28</v>
      </c>
      <c r="H7" s="17">
        <v>38.46</v>
      </c>
      <c r="I7" s="53" t="s">
        <v>28</v>
      </c>
    </row>
    <row r="8" spans="1:9" x14ac:dyDescent="0.25">
      <c r="A8" s="5" t="s">
        <v>11</v>
      </c>
      <c r="B8" s="13">
        <v>721.63635999999997</v>
      </c>
      <c r="C8" s="12" t="s">
        <v>28</v>
      </c>
      <c r="D8" s="12">
        <v>13.09259</v>
      </c>
      <c r="E8" s="12" t="s">
        <v>28</v>
      </c>
      <c r="F8" s="12" t="s">
        <v>28</v>
      </c>
      <c r="G8" s="154" t="s">
        <v>28</v>
      </c>
      <c r="H8" s="17">
        <v>43.32</v>
      </c>
      <c r="I8" s="53" t="s">
        <v>28</v>
      </c>
    </row>
    <row r="9" spans="1:9" x14ac:dyDescent="0.25">
      <c r="A9" s="5" t="s">
        <v>56</v>
      </c>
      <c r="B9" s="13">
        <v>840.27273000000002</v>
      </c>
      <c r="C9" s="12">
        <v>40</v>
      </c>
      <c r="D9" s="12">
        <v>5.9391639999999999</v>
      </c>
      <c r="E9" s="12">
        <v>43.7</v>
      </c>
      <c r="F9" s="12" t="s">
        <v>28</v>
      </c>
      <c r="G9" s="154" t="s">
        <v>28</v>
      </c>
      <c r="H9" s="17">
        <v>40.94</v>
      </c>
      <c r="I9" s="154">
        <v>0.97819979999999995</v>
      </c>
    </row>
    <row r="10" spans="1:9" x14ac:dyDescent="0.25">
      <c r="A10" s="5" t="s">
        <v>72</v>
      </c>
      <c r="B10" s="13">
        <v>851.09091000000001</v>
      </c>
      <c r="C10" s="12" t="s">
        <v>28</v>
      </c>
      <c r="D10" s="12" t="s">
        <v>28</v>
      </c>
      <c r="E10" s="12">
        <v>58</v>
      </c>
      <c r="F10" s="12">
        <v>41</v>
      </c>
      <c r="G10" s="154" t="s">
        <v>28</v>
      </c>
      <c r="H10" s="17">
        <v>28.08</v>
      </c>
      <c r="I10" s="154">
        <v>1.0112019999999999</v>
      </c>
    </row>
    <row r="11" spans="1:9" x14ac:dyDescent="0.25">
      <c r="A11" s="5" t="s">
        <v>20</v>
      </c>
      <c r="B11" s="13">
        <v>858.45455000000004</v>
      </c>
      <c r="C11" s="12" t="s">
        <v>28</v>
      </c>
      <c r="D11" s="12">
        <v>28.792079999999999</v>
      </c>
      <c r="E11" s="12" t="s">
        <v>28</v>
      </c>
      <c r="F11" s="12">
        <v>48</v>
      </c>
      <c r="G11" s="154" t="s">
        <v>28</v>
      </c>
      <c r="H11" s="17" t="s">
        <v>28</v>
      </c>
      <c r="I11" s="53" t="s">
        <v>28</v>
      </c>
    </row>
    <row r="12" spans="1:9" x14ac:dyDescent="0.25">
      <c r="A12" s="5" t="s">
        <v>53</v>
      </c>
      <c r="B12" s="13">
        <v>860.45455000000004</v>
      </c>
      <c r="C12" s="12">
        <v>38</v>
      </c>
      <c r="D12" s="12">
        <v>22.778479999999998</v>
      </c>
      <c r="E12" s="12">
        <v>71.400000000000006</v>
      </c>
      <c r="F12" s="12">
        <v>84</v>
      </c>
      <c r="G12" s="154" t="s">
        <v>28</v>
      </c>
      <c r="H12" s="17">
        <v>43.62</v>
      </c>
      <c r="I12" s="154" t="s">
        <v>28</v>
      </c>
    </row>
    <row r="13" spans="1:9" x14ac:dyDescent="0.25">
      <c r="A13" s="5" t="s">
        <v>63</v>
      </c>
      <c r="B13" s="13">
        <v>861.63635999999997</v>
      </c>
      <c r="C13" s="12">
        <v>45</v>
      </c>
      <c r="D13" s="12">
        <v>16.136990000000001</v>
      </c>
      <c r="E13" s="12">
        <v>59.7</v>
      </c>
      <c r="F13" s="12">
        <v>18</v>
      </c>
      <c r="G13" s="154" t="s">
        <v>28</v>
      </c>
      <c r="H13" s="17">
        <v>49.78</v>
      </c>
      <c r="I13" s="53">
        <v>5.676355</v>
      </c>
    </row>
    <row r="14" spans="1:9" x14ac:dyDescent="0.25">
      <c r="A14" s="5" t="s">
        <v>49</v>
      </c>
      <c r="B14" s="13">
        <v>883.81817999999998</v>
      </c>
      <c r="C14" s="12">
        <v>34</v>
      </c>
      <c r="D14" s="12" t="s">
        <v>28</v>
      </c>
      <c r="E14" s="12">
        <v>41.5</v>
      </c>
      <c r="F14" s="12">
        <v>68</v>
      </c>
      <c r="G14" s="154" t="s">
        <v>28</v>
      </c>
      <c r="H14" s="17">
        <v>41.7</v>
      </c>
      <c r="I14" s="53" t="s">
        <v>28</v>
      </c>
    </row>
    <row r="15" spans="1:9" x14ac:dyDescent="0.25">
      <c r="A15" s="5" t="s">
        <v>66</v>
      </c>
      <c r="B15" s="13">
        <v>914.72726999999998</v>
      </c>
      <c r="C15" s="12">
        <v>36</v>
      </c>
      <c r="D15" s="12" t="s">
        <v>28</v>
      </c>
      <c r="E15" s="12" t="s">
        <v>28</v>
      </c>
      <c r="F15" s="12" t="s">
        <v>28</v>
      </c>
      <c r="G15" s="154">
        <v>76</v>
      </c>
      <c r="H15" s="17">
        <v>59</v>
      </c>
      <c r="I15" s="53" t="s">
        <v>28</v>
      </c>
    </row>
    <row r="16" spans="1:9" x14ac:dyDescent="0.25">
      <c r="A16" s="5" t="s">
        <v>55</v>
      </c>
      <c r="B16" s="13">
        <v>929.81817999999998</v>
      </c>
      <c r="C16" s="12">
        <v>38</v>
      </c>
      <c r="D16" s="12" t="s">
        <v>28</v>
      </c>
      <c r="E16" s="12" t="s">
        <v>28</v>
      </c>
      <c r="F16" s="12">
        <v>47</v>
      </c>
      <c r="G16" s="154" t="s">
        <v>28</v>
      </c>
      <c r="H16" s="17">
        <v>42.08</v>
      </c>
      <c r="I16" s="53" t="s">
        <v>28</v>
      </c>
    </row>
    <row r="17" spans="1:9" x14ac:dyDescent="0.25">
      <c r="A17" s="5" t="s">
        <v>229</v>
      </c>
      <c r="B17" s="13">
        <v>965.18182000000002</v>
      </c>
      <c r="C17" s="12">
        <v>29</v>
      </c>
      <c r="D17" s="12">
        <v>27.685890000000001</v>
      </c>
      <c r="E17" s="12" t="s">
        <v>28</v>
      </c>
      <c r="F17" s="12" t="s">
        <v>28</v>
      </c>
      <c r="G17" s="154" t="s">
        <v>28</v>
      </c>
      <c r="H17" s="17" t="s">
        <v>28</v>
      </c>
      <c r="I17" s="154" t="s">
        <v>28</v>
      </c>
    </row>
    <row r="18" spans="1:9" x14ac:dyDescent="0.25">
      <c r="A18" s="5" t="s">
        <v>62</v>
      </c>
      <c r="B18" s="13">
        <v>1005.4545000000001</v>
      </c>
      <c r="C18" s="12">
        <v>42</v>
      </c>
      <c r="D18" s="12">
        <v>15.87013</v>
      </c>
      <c r="E18" s="12" t="s">
        <v>28</v>
      </c>
      <c r="F18" s="12">
        <v>89</v>
      </c>
      <c r="G18" s="154" t="s">
        <v>28</v>
      </c>
      <c r="H18" s="17">
        <v>48.74</v>
      </c>
      <c r="I18" s="53" t="s">
        <v>28</v>
      </c>
    </row>
    <row r="19" spans="1:9" x14ac:dyDescent="0.25">
      <c r="A19" s="5" t="s">
        <v>23</v>
      </c>
      <c r="B19" s="13">
        <v>1025.7273</v>
      </c>
      <c r="C19" s="12" t="s">
        <v>28</v>
      </c>
      <c r="D19" s="12">
        <v>18.914290000000001</v>
      </c>
      <c r="E19" s="12" t="s">
        <v>28</v>
      </c>
      <c r="F19" s="12" t="s">
        <v>28</v>
      </c>
      <c r="G19" s="154" t="s">
        <v>28</v>
      </c>
      <c r="H19" s="17">
        <v>41.58</v>
      </c>
      <c r="I19" s="154" t="s">
        <v>28</v>
      </c>
    </row>
    <row r="20" spans="1:9" x14ac:dyDescent="0.25">
      <c r="A20" s="5" t="s">
        <v>52</v>
      </c>
      <c r="B20" s="13">
        <v>1033.0908999999999</v>
      </c>
      <c r="C20" s="12">
        <v>41</v>
      </c>
      <c r="D20" s="12" t="s">
        <v>28</v>
      </c>
      <c r="E20" s="12">
        <v>65.599999999999994</v>
      </c>
      <c r="F20" s="12">
        <v>72</v>
      </c>
      <c r="G20" s="154" t="s">
        <v>28</v>
      </c>
      <c r="H20" s="17">
        <v>47.5</v>
      </c>
      <c r="I20" s="154" t="s">
        <v>28</v>
      </c>
    </row>
    <row r="21" spans="1:9" x14ac:dyDescent="0.25">
      <c r="A21" s="5" t="s">
        <v>57</v>
      </c>
      <c r="B21" s="13">
        <v>1062.9091000000001</v>
      </c>
      <c r="C21" s="12">
        <v>36</v>
      </c>
      <c r="D21" s="12">
        <v>22.34646</v>
      </c>
      <c r="E21" s="12">
        <v>26.3</v>
      </c>
      <c r="F21" s="12">
        <v>70</v>
      </c>
      <c r="G21" s="154" t="s">
        <v>28</v>
      </c>
      <c r="H21" s="17">
        <v>42.84</v>
      </c>
      <c r="I21" s="154" t="s">
        <v>28</v>
      </c>
    </row>
    <row r="22" spans="1:9" x14ac:dyDescent="0.25">
      <c r="A22" s="5" t="s">
        <v>10</v>
      </c>
      <c r="B22" s="13">
        <v>1094.8181999999999</v>
      </c>
      <c r="C22" s="12">
        <v>33</v>
      </c>
      <c r="D22" s="12">
        <v>14.525510000000001</v>
      </c>
      <c r="E22" s="12" t="s">
        <v>28</v>
      </c>
      <c r="F22" s="12">
        <v>61</v>
      </c>
      <c r="G22" s="154" t="s">
        <v>28</v>
      </c>
      <c r="H22" s="17">
        <v>35.119999999999997</v>
      </c>
      <c r="I22" s="154">
        <v>3.268799</v>
      </c>
    </row>
    <row r="23" spans="1:9" x14ac:dyDescent="0.25">
      <c r="A23" s="5" t="s">
        <v>208</v>
      </c>
      <c r="B23" s="13">
        <v>1100</v>
      </c>
      <c r="C23" s="12" t="s">
        <v>28</v>
      </c>
      <c r="D23" s="12" t="s">
        <v>28</v>
      </c>
      <c r="E23" s="12">
        <v>30.7</v>
      </c>
      <c r="F23" s="12" t="s">
        <v>28</v>
      </c>
      <c r="G23" s="154" t="s">
        <v>28</v>
      </c>
      <c r="H23" s="17" t="s">
        <v>28</v>
      </c>
      <c r="I23" s="154" t="s">
        <v>28</v>
      </c>
    </row>
    <row r="24" spans="1:9" x14ac:dyDescent="0.25">
      <c r="A24" s="5" t="s">
        <v>208</v>
      </c>
      <c r="B24" s="13">
        <v>1100</v>
      </c>
      <c r="C24" s="12" t="s">
        <v>28</v>
      </c>
      <c r="D24" s="12" t="s">
        <v>28</v>
      </c>
      <c r="E24" s="12">
        <v>30.7</v>
      </c>
      <c r="F24" s="12" t="s">
        <v>28</v>
      </c>
      <c r="G24" s="154" t="s">
        <v>28</v>
      </c>
      <c r="H24" s="17" t="s">
        <v>28</v>
      </c>
      <c r="I24" s="154" t="s">
        <v>28</v>
      </c>
    </row>
    <row r="25" spans="1:9" x14ac:dyDescent="0.25">
      <c r="A25" s="5" t="s">
        <v>88</v>
      </c>
      <c r="B25" s="13">
        <v>1113.5454999999999</v>
      </c>
      <c r="C25" s="12" t="s">
        <v>28</v>
      </c>
      <c r="D25" s="12" t="s">
        <v>28</v>
      </c>
      <c r="E25" s="12" t="s">
        <v>28</v>
      </c>
      <c r="F25" s="12">
        <v>39</v>
      </c>
      <c r="G25" s="154" t="s">
        <v>28</v>
      </c>
      <c r="H25" s="17">
        <v>49.8</v>
      </c>
      <c r="I25" s="53">
        <v>8.9646659999999994</v>
      </c>
    </row>
    <row r="26" spans="1:9" x14ac:dyDescent="0.25">
      <c r="A26" s="5" t="s">
        <v>232</v>
      </c>
      <c r="B26" s="13">
        <v>1126.5454999999999</v>
      </c>
      <c r="C26" s="12" t="s">
        <v>28</v>
      </c>
      <c r="D26" s="12">
        <v>15.13461</v>
      </c>
      <c r="E26" s="12" t="s">
        <v>28</v>
      </c>
      <c r="F26" s="12" t="s">
        <v>28</v>
      </c>
      <c r="G26" s="154" t="s">
        <v>28</v>
      </c>
      <c r="H26" s="17" t="s">
        <v>28</v>
      </c>
      <c r="I26" s="154" t="s">
        <v>28</v>
      </c>
    </row>
    <row r="27" spans="1:9" x14ac:dyDescent="0.25">
      <c r="A27" s="5" t="s">
        <v>58</v>
      </c>
      <c r="B27" s="13">
        <v>1179.8181999999999</v>
      </c>
      <c r="C27" s="12" t="s">
        <v>28</v>
      </c>
      <c r="D27" s="12" t="s">
        <v>28</v>
      </c>
      <c r="E27" s="12" t="s">
        <v>28</v>
      </c>
      <c r="F27" s="12">
        <v>58</v>
      </c>
      <c r="G27" s="154" t="s">
        <v>28</v>
      </c>
      <c r="H27" s="17">
        <v>45.8</v>
      </c>
      <c r="I27" s="154" t="s">
        <v>28</v>
      </c>
    </row>
    <row r="28" spans="1:9" x14ac:dyDescent="0.25">
      <c r="A28" s="5" t="s">
        <v>18</v>
      </c>
      <c r="B28" s="13">
        <v>1213.5083</v>
      </c>
      <c r="C28" s="12">
        <v>31</v>
      </c>
      <c r="D28" s="12">
        <v>67.434910000000002</v>
      </c>
      <c r="E28" s="12" t="s">
        <v>28</v>
      </c>
      <c r="F28" s="12">
        <v>52</v>
      </c>
      <c r="G28" s="154" t="s">
        <v>28</v>
      </c>
      <c r="H28" s="17" t="s">
        <v>28</v>
      </c>
      <c r="I28" s="53" t="s">
        <v>28</v>
      </c>
    </row>
    <row r="29" spans="1:9" x14ac:dyDescent="0.25">
      <c r="A29" s="5" t="s">
        <v>13</v>
      </c>
      <c r="B29" s="13">
        <v>1224.7273</v>
      </c>
      <c r="C29" s="12">
        <v>38</v>
      </c>
      <c r="D29" s="12">
        <v>34.522019999999998</v>
      </c>
      <c r="E29" s="12">
        <v>59.4</v>
      </c>
      <c r="F29" s="12" t="s">
        <v>28</v>
      </c>
      <c r="G29" s="154" t="s">
        <v>28</v>
      </c>
      <c r="H29" s="17">
        <v>44.76</v>
      </c>
      <c r="I29" s="154">
        <v>3.091942</v>
      </c>
    </row>
    <row r="30" spans="1:9" x14ac:dyDescent="0.25">
      <c r="A30" s="5" t="s">
        <v>54</v>
      </c>
      <c r="B30" s="13">
        <v>1361.5454999999999</v>
      </c>
      <c r="C30" s="12">
        <v>36</v>
      </c>
      <c r="D30" s="12" t="s">
        <v>28</v>
      </c>
      <c r="E30" s="12" t="s">
        <v>28</v>
      </c>
      <c r="F30" s="12">
        <v>59</v>
      </c>
      <c r="G30" s="154" t="s">
        <v>28</v>
      </c>
      <c r="H30" s="17">
        <v>39.68</v>
      </c>
      <c r="I30" s="154" t="s">
        <v>28</v>
      </c>
    </row>
    <row r="31" spans="1:9" x14ac:dyDescent="0.25">
      <c r="A31" s="5" t="s">
        <v>59</v>
      </c>
      <c r="B31" s="13">
        <v>1405.7273</v>
      </c>
      <c r="C31" s="12" t="s">
        <v>28</v>
      </c>
      <c r="D31" s="12" t="s">
        <v>28</v>
      </c>
      <c r="E31" s="12" t="s">
        <v>28</v>
      </c>
      <c r="F31" s="12">
        <v>68</v>
      </c>
      <c r="G31" s="154" t="s">
        <v>28</v>
      </c>
      <c r="H31" s="17">
        <v>38.94</v>
      </c>
      <c r="I31" s="154" t="s">
        <v>28</v>
      </c>
    </row>
    <row r="32" spans="1:9" x14ac:dyDescent="0.25">
      <c r="A32" s="5" t="s">
        <v>69</v>
      </c>
      <c r="B32" s="13">
        <v>1505.5454999999999</v>
      </c>
      <c r="C32" s="12" t="s">
        <v>28</v>
      </c>
      <c r="D32" s="12">
        <v>80.33569</v>
      </c>
      <c r="E32" s="12">
        <v>55.4</v>
      </c>
      <c r="F32" s="12" t="s">
        <v>28</v>
      </c>
      <c r="G32" s="154" t="s">
        <v>28</v>
      </c>
      <c r="H32" s="17">
        <v>47.08</v>
      </c>
      <c r="I32" s="154">
        <v>9.0892500000000001E-2</v>
      </c>
    </row>
    <row r="33" spans="1:9" x14ac:dyDescent="0.25">
      <c r="A33" s="5" t="s">
        <v>255</v>
      </c>
      <c r="B33" s="13">
        <v>1600.7273</v>
      </c>
      <c r="C33" s="12" t="s">
        <v>28</v>
      </c>
      <c r="D33" s="12" t="s">
        <v>28</v>
      </c>
      <c r="E33" s="12" t="s">
        <v>28</v>
      </c>
      <c r="F33" s="12" t="s">
        <v>28</v>
      </c>
      <c r="G33" s="154" t="s">
        <v>28</v>
      </c>
      <c r="H33" s="17">
        <v>44.56</v>
      </c>
      <c r="I33" s="154" t="s">
        <v>28</v>
      </c>
    </row>
    <row r="34" spans="1:9" x14ac:dyDescent="0.25">
      <c r="A34" s="5" t="s">
        <v>70</v>
      </c>
      <c r="B34" s="13">
        <v>1601.7273</v>
      </c>
      <c r="C34" s="12" t="s">
        <v>28</v>
      </c>
      <c r="D34" s="12" t="s">
        <v>28</v>
      </c>
      <c r="E34" s="12" t="s">
        <v>28</v>
      </c>
      <c r="F34" s="12">
        <v>65</v>
      </c>
      <c r="G34" s="154" t="s">
        <v>28</v>
      </c>
      <c r="H34" s="17">
        <v>58</v>
      </c>
      <c r="I34" s="154">
        <v>3.7549199999999998E-2</v>
      </c>
    </row>
    <row r="35" spans="1:9" x14ac:dyDescent="0.25">
      <c r="A35" s="5" t="s">
        <v>61</v>
      </c>
      <c r="B35" s="13">
        <v>1602.1818000000001</v>
      </c>
      <c r="C35" s="12">
        <v>42</v>
      </c>
      <c r="D35" s="12">
        <v>21.022110000000001</v>
      </c>
      <c r="E35" s="12">
        <v>36.700000000000003</v>
      </c>
      <c r="F35" s="12" t="s">
        <v>28</v>
      </c>
      <c r="G35" s="154" t="s">
        <v>28</v>
      </c>
      <c r="H35" s="17">
        <v>40.659999999999997</v>
      </c>
      <c r="I35" s="154" t="s">
        <v>28</v>
      </c>
    </row>
    <row r="36" spans="1:9" x14ac:dyDescent="0.25">
      <c r="A36" s="5" t="s">
        <v>76</v>
      </c>
      <c r="B36" s="13">
        <v>1639.4545000000001</v>
      </c>
      <c r="C36" s="12" t="s">
        <v>28</v>
      </c>
      <c r="D36" s="12">
        <v>5.221241</v>
      </c>
      <c r="E36" s="12" t="s">
        <v>28</v>
      </c>
      <c r="F36" s="12" t="s">
        <v>28</v>
      </c>
      <c r="G36" s="154">
        <v>8.4</v>
      </c>
      <c r="H36" s="17">
        <v>35.74</v>
      </c>
      <c r="I36" s="154" t="s">
        <v>28</v>
      </c>
    </row>
    <row r="37" spans="1:9" x14ac:dyDescent="0.25">
      <c r="A37" s="5" t="s">
        <v>4</v>
      </c>
      <c r="B37" s="13">
        <v>1664.8181999999999</v>
      </c>
      <c r="C37" s="12">
        <v>34</v>
      </c>
      <c r="D37" s="12" t="s">
        <v>28</v>
      </c>
      <c r="E37" s="12">
        <v>65.099999999999994</v>
      </c>
      <c r="F37" s="12">
        <v>75</v>
      </c>
      <c r="G37" s="154" t="s">
        <v>28</v>
      </c>
      <c r="H37" s="17">
        <v>37.22</v>
      </c>
      <c r="I37" s="154">
        <v>0.39402150000000002</v>
      </c>
    </row>
    <row r="38" spans="1:9" x14ac:dyDescent="0.25">
      <c r="A38" s="5" t="s">
        <v>65</v>
      </c>
      <c r="B38" s="13">
        <v>1674.5454999999999</v>
      </c>
      <c r="C38" s="12">
        <v>17</v>
      </c>
      <c r="D38" s="12">
        <v>19.997129999999999</v>
      </c>
      <c r="E38" s="12">
        <v>35.9</v>
      </c>
      <c r="F38" s="12" t="s">
        <v>28</v>
      </c>
      <c r="G38" s="154">
        <v>32.4</v>
      </c>
      <c r="H38" s="17">
        <v>48.08</v>
      </c>
      <c r="I38" s="154">
        <v>13.867000000000001</v>
      </c>
    </row>
    <row r="39" spans="1:9" x14ac:dyDescent="0.25">
      <c r="A39" s="5" t="s">
        <v>64</v>
      </c>
      <c r="B39" s="13">
        <v>1677.4545000000001</v>
      </c>
      <c r="C39" s="12" t="s">
        <v>28</v>
      </c>
      <c r="D39" s="12" t="s">
        <v>28</v>
      </c>
      <c r="E39" s="12">
        <v>56.9</v>
      </c>
      <c r="F39" s="12" t="s">
        <v>28</v>
      </c>
      <c r="G39" s="154" t="s">
        <v>28</v>
      </c>
      <c r="H39" s="17">
        <v>32.6</v>
      </c>
      <c r="I39" s="53" t="s">
        <v>28</v>
      </c>
    </row>
    <row r="40" spans="1:9" x14ac:dyDescent="0.25">
      <c r="A40" s="5" t="s">
        <v>67</v>
      </c>
      <c r="B40" s="13">
        <v>1690</v>
      </c>
      <c r="C40" s="12">
        <v>34</v>
      </c>
      <c r="D40" s="12">
        <v>37.362499999999997</v>
      </c>
      <c r="E40" s="12">
        <v>35.6</v>
      </c>
      <c r="F40" s="12" t="s">
        <v>28</v>
      </c>
      <c r="G40" s="154" t="s">
        <v>28</v>
      </c>
      <c r="H40" s="17">
        <v>20.04</v>
      </c>
      <c r="I40" s="154" t="s">
        <v>28</v>
      </c>
    </row>
    <row r="41" spans="1:9" x14ac:dyDescent="0.25">
      <c r="A41" s="5" t="s">
        <v>14</v>
      </c>
      <c r="B41" s="13">
        <v>1702.3635999999999</v>
      </c>
      <c r="C41" s="12">
        <v>38</v>
      </c>
      <c r="D41" s="12">
        <v>50.877110000000002</v>
      </c>
      <c r="E41" s="12" t="s">
        <v>28</v>
      </c>
      <c r="F41" s="12" t="s">
        <v>28</v>
      </c>
      <c r="G41" s="154" t="s">
        <v>28</v>
      </c>
      <c r="H41" s="17">
        <v>44.56</v>
      </c>
      <c r="I41" s="154" t="s">
        <v>28</v>
      </c>
    </row>
    <row r="42" spans="1:9" x14ac:dyDescent="0.25">
      <c r="A42" s="5" t="s">
        <v>118</v>
      </c>
      <c r="B42" s="13">
        <v>1820.3690999999999</v>
      </c>
      <c r="C42" s="12" t="s">
        <v>28</v>
      </c>
      <c r="D42" s="12" t="s">
        <v>28</v>
      </c>
      <c r="E42" s="12" t="s">
        <v>28</v>
      </c>
      <c r="F42" s="12" t="s">
        <v>28</v>
      </c>
      <c r="G42" s="154" t="s">
        <v>28</v>
      </c>
      <c r="H42" s="17">
        <v>28.66</v>
      </c>
      <c r="I42" s="154" t="s">
        <v>28</v>
      </c>
    </row>
    <row r="43" spans="1:9" x14ac:dyDescent="0.25">
      <c r="A43" s="5" t="s">
        <v>25</v>
      </c>
      <c r="B43" s="13">
        <v>1962.4545000000001</v>
      </c>
      <c r="C43" s="12">
        <v>34</v>
      </c>
      <c r="D43" s="12">
        <v>52.637639999999998</v>
      </c>
      <c r="E43" s="12">
        <v>41.2</v>
      </c>
      <c r="F43" s="12">
        <v>49</v>
      </c>
      <c r="G43" s="154" t="s">
        <v>28</v>
      </c>
      <c r="H43" s="17">
        <v>51.78</v>
      </c>
      <c r="I43" s="53" t="s">
        <v>28</v>
      </c>
    </row>
    <row r="44" spans="1:9" x14ac:dyDescent="0.25">
      <c r="A44" s="5" t="s">
        <v>78</v>
      </c>
      <c r="B44" s="13">
        <v>1978.7273</v>
      </c>
      <c r="C44" s="12">
        <v>37</v>
      </c>
      <c r="D44" s="12">
        <v>12.40625</v>
      </c>
      <c r="E44" s="12">
        <v>59.3</v>
      </c>
      <c r="F44" s="12" t="s">
        <v>28</v>
      </c>
      <c r="G44" s="154" t="s">
        <v>28</v>
      </c>
      <c r="H44" s="17">
        <v>33.880000000000003</v>
      </c>
      <c r="I44" s="53" t="s">
        <v>28</v>
      </c>
    </row>
    <row r="45" spans="1:9" x14ac:dyDescent="0.25">
      <c r="A45" s="5" t="s">
        <v>207</v>
      </c>
      <c r="B45" s="13">
        <v>1979.7273</v>
      </c>
      <c r="C45" s="12" t="s">
        <v>28</v>
      </c>
      <c r="D45" s="12" t="s">
        <v>28</v>
      </c>
      <c r="E45" s="12">
        <v>17.7</v>
      </c>
      <c r="F45" s="12" t="s">
        <v>28</v>
      </c>
      <c r="G45" s="154" t="s">
        <v>28</v>
      </c>
      <c r="H45" s="17" t="s">
        <v>28</v>
      </c>
      <c r="I45" s="154" t="s">
        <v>28</v>
      </c>
    </row>
    <row r="46" spans="1:9" x14ac:dyDescent="0.25">
      <c r="A46" s="5" t="s">
        <v>21</v>
      </c>
      <c r="B46" s="13">
        <v>1992</v>
      </c>
      <c r="C46" s="12">
        <v>32</v>
      </c>
      <c r="D46" s="12">
        <v>46.991230000000002</v>
      </c>
      <c r="E46" s="12" t="s">
        <v>28</v>
      </c>
      <c r="F46" s="12" t="s">
        <v>28</v>
      </c>
      <c r="G46" s="154" t="s">
        <v>28</v>
      </c>
      <c r="H46" s="17">
        <v>37.1</v>
      </c>
      <c r="I46" s="154" t="s">
        <v>28</v>
      </c>
    </row>
    <row r="47" spans="1:9" x14ac:dyDescent="0.25">
      <c r="A47" s="5" t="s">
        <v>74</v>
      </c>
      <c r="B47" s="13">
        <v>2001</v>
      </c>
      <c r="C47" s="12">
        <v>30</v>
      </c>
      <c r="D47" s="12" t="s">
        <v>28</v>
      </c>
      <c r="E47" s="12">
        <v>38</v>
      </c>
      <c r="F47" s="12">
        <v>43</v>
      </c>
      <c r="G47" s="154" t="s">
        <v>28</v>
      </c>
      <c r="H47" s="17">
        <v>38.42</v>
      </c>
      <c r="I47" s="154">
        <v>0.27445269999999999</v>
      </c>
    </row>
    <row r="48" spans="1:9" x14ac:dyDescent="0.25">
      <c r="A48" s="5" t="s">
        <v>82</v>
      </c>
      <c r="B48" s="13">
        <v>2032.3635999999999</v>
      </c>
      <c r="C48" s="12" t="s">
        <v>28</v>
      </c>
      <c r="D48" s="12" t="s">
        <v>28</v>
      </c>
      <c r="E48" s="12" t="s">
        <v>28</v>
      </c>
      <c r="F48" s="12" t="s">
        <v>28</v>
      </c>
      <c r="G48" s="154" t="s">
        <v>28</v>
      </c>
      <c r="H48" s="17">
        <v>34.36</v>
      </c>
      <c r="I48" s="53" t="s">
        <v>28</v>
      </c>
    </row>
    <row r="49" spans="1:9" x14ac:dyDescent="0.25">
      <c r="A49" s="5" t="s">
        <v>60</v>
      </c>
      <c r="B49" s="13">
        <v>2062.3636000000001</v>
      </c>
      <c r="C49" s="12" t="s">
        <v>28</v>
      </c>
      <c r="D49" s="12" t="s">
        <v>28</v>
      </c>
      <c r="E49" s="12" t="s">
        <v>28</v>
      </c>
      <c r="F49" s="12">
        <v>67</v>
      </c>
      <c r="G49" s="154" t="s">
        <v>28</v>
      </c>
      <c r="H49" s="17">
        <v>43.04</v>
      </c>
      <c r="I49" s="154">
        <v>4.5514869999999998</v>
      </c>
    </row>
    <row r="50" spans="1:9" x14ac:dyDescent="0.25">
      <c r="A50" s="5" t="s">
        <v>19</v>
      </c>
      <c r="B50" s="13">
        <v>2062.5455000000002</v>
      </c>
      <c r="C50" s="12" t="s">
        <v>28</v>
      </c>
      <c r="D50" s="12">
        <v>64.254930000000002</v>
      </c>
      <c r="E50" s="12" t="s">
        <v>28</v>
      </c>
      <c r="F50" s="12">
        <v>72</v>
      </c>
      <c r="G50" s="154" t="s">
        <v>28</v>
      </c>
      <c r="H50" s="17">
        <v>40.880000000000003</v>
      </c>
      <c r="I50" s="154" t="s">
        <v>28</v>
      </c>
    </row>
    <row r="51" spans="1:9" x14ac:dyDescent="0.25">
      <c r="A51" s="5" t="s">
        <v>68</v>
      </c>
      <c r="B51" s="13">
        <v>2302.8182000000002</v>
      </c>
      <c r="C51" s="12">
        <v>27</v>
      </c>
      <c r="D51" s="12">
        <v>9.1298480000000009</v>
      </c>
      <c r="E51" s="12">
        <v>41.7</v>
      </c>
      <c r="F51" s="12" t="s">
        <v>28</v>
      </c>
      <c r="G51" s="154" t="s">
        <v>28</v>
      </c>
      <c r="H51" s="17">
        <v>16.68</v>
      </c>
      <c r="I51" s="154" t="s">
        <v>28</v>
      </c>
    </row>
    <row r="52" spans="1:9" x14ac:dyDescent="0.25">
      <c r="A52" s="5" t="s">
        <v>79</v>
      </c>
      <c r="B52" s="13">
        <v>2388.2727</v>
      </c>
      <c r="C52" s="12">
        <v>32</v>
      </c>
      <c r="D52" s="12">
        <v>22.793399999999998</v>
      </c>
      <c r="E52" s="12">
        <v>36.799999999999997</v>
      </c>
      <c r="F52" s="12" t="s">
        <v>28</v>
      </c>
      <c r="G52" s="154">
        <v>53.1</v>
      </c>
      <c r="H52" s="17">
        <v>67.319999999999993</v>
      </c>
      <c r="I52" s="154">
        <v>11.09441</v>
      </c>
    </row>
    <row r="53" spans="1:9" x14ac:dyDescent="0.25">
      <c r="A53" s="5" t="s">
        <v>75</v>
      </c>
      <c r="B53" s="13">
        <v>2409.1817999999998</v>
      </c>
      <c r="C53" s="12">
        <v>41</v>
      </c>
      <c r="D53" s="12" t="s">
        <v>28</v>
      </c>
      <c r="E53" s="12">
        <v>50.4</v>
      </c>
      <c r="F53" s="12" t="s">
        <v>28</v>
      </c>
      <c r="G53" s="154" t="s">
        <v>28</v>
      </c>
      <c r="H53" s="17">
        <v>62.42</v>
      </c>
      <c r="I53" s="53" t="s">
        <v>28</v>
      </c>
    </row>
    <row r="54" spans="1:9" x14ac:dyDescent="0.25">
      <c r="A54" s="5" t="s">
        <v>77</v>
      </c>
      <c r="B54" s="13">
        <v>2411.2727</v>
      </c>
      <c r="C54" s="12" t="s">
        <v>28</v>
      </c>
      <c r="D54" s="12" t="s">
        <v>28</v>
      </c>
      <c r="E54" s="12" t="s">
        <v>28</v>
      </c>
      <c r="F54" s="12" t="s">
        <v>28</v>
      </c>
      <c r="G54" s="154" t="s">
        <v>28</v>
      </c>
      <c r="H54" s="17">
        <v>37.46</v>
      </c>
      <c r="I54" s="154" t="s">
        <v>28</v>
      </c>
    </row>
    <row r="55" spans="1:9" x14ac:dyDescent="0.25">
      <c r="A55" s="5" t="s">
        <v>89</v>
      </c>
      <c r="B55" s="13">
        <v>2491.2727</v>
      </c>
      <c r="C55" s="12">
        <v>43</v>
      </c>
      <c r="D55" s="12">
        <v>20.230910000000002</v>
      </c>
      <c r="E55" s="12">
        <v>44.4</v>
      </c>
      <c r="F55" s="12">
        <v>68</v>
      </c>
      <c r="G55" s="154" t="s">
        <v>28</v>
      </c>
      <c r="H55" s="17">
        <v>67.739999999999995</v>
      </c>
      <c r="I55" s="154">
        <v>2.5053730000000001</v>
      </c>
    </row>
    <row r="56" spans="1:9" x14ac:dyDescent="0.25">
      <c r="A56" s="5" t="s">
        <v>233</v>
      </c>
      <c r="B56" s="13">
        <v>2500</v>
      </c>
      <c r="C56" s="12" t="s">
        <v>28</v>
      </c>
      <c r="D56" s="12">
        <v>28.121949999999998</v>
      </c>
      <c r="E56" s="12" t="s">
        <v>28</v>
      </c>
      <c r="F56" s="12" t="s">
        <v>28</v>
      </c>
      <c r="G56" s="154" t="s">
        <v>28</v>
      </c>
      <c r="H56" s="17" t="s">
        <v>28</v>
      </c>
      <c r="I56" s="154" t="s">
        <v>28</v>
      </c>
    </row>
    <row r="57" spans="1:9" x14ac:dyDescent="0.25">
      <c r="A57" s="5" t="s">
        <v>231</v>
      </c>
      <c r="B57" s="13">
        <v>2500</v>
      </c>
      <c r="C57" s="12">
        <v>29</v>
      </c>
      <c r="D57" s="12" t="s">
        <v>28</v>
      </c>
      <c r="E57" s="12" t="s">
        <v>28</v>
      </c>
      <c r="F57" s="12" t="s">
        <v>28</v>
      </c>
      <c r="G57" s="154" t="s">
        <v>28</v>
      </c>
      <c r="H57" s="17" t="s">
        <v>28</v>
      </c>
      <c r="I57" s="154" t="s">
        <v>28</v>
      </c>
    </row>
    <row r="58" spans="1:9" x14ac:dyDescent="0.25">
      <c r="A58" s="5" t="s">
        <v>8</v>
      </c>
      <c r="B58" s="13">
        <v>2637.9090999999999</v>
      </c>
      <c r="C58" s="12">
        <v>27</v>
      </c>
      <c r="D58" s="12">
        <v>27.704989999999999</v>
      </c>
      <c r="E58" s="12" t="s">
        <v>28</v>
      </c>
      <c r="F58" s="12">
        <v>37</v>
      </c>
      <c r="G58" s="154" t="s">
        <v>28</v>
      </c>
      <c r="H58" s="17">
        <v>24.78</v>
      </c>
      <c r="I58" s="154">
        <v>0.6098422</v>
      </c>
    </row>
    <row r="59" spans="1:9" x14ac:dyDescent="0.25">
      <c r="A59" s="5" t="s">
        <v>71</v>
      </c>
      <c r="B59" s="13">
        <v>2856.1817999999998</v>
      </c>
      <c r="C59" s="12">
        <v>33</v>
      </c>
      <c r="D59" s="12">
        <v>15.873749999999999</v>
      </c>
      <c r="E59" s="12">
        <v>60.3</v>
      </c>
      <c r="F59" s="12" t="s">
        <v>28</v>
      </c>
      <c r="G59" s="154" t="s">
        <v>28</v>
      </c>
      <c r="H59" s="17">
        <v>32.42</v>
      </c>
      <c r="I59" s="154" t="s">
        <v>28</v>
      </c>
    </row>
    <row r="60" spans="1:9" x14ac:dyDescent="0.25">
      <c r="A60" s="5" t="s">
        <v>87</v>
      </c>
      <c r="B60" s="13">
        <v>3025.1817999999998</v>
      </c>
      <c r="C60" s="12">
        <v>38</v>
      </c>
      <c r="D60" s="12">
        <v>23.464179999999999</v>
      </c>
      <c r="E60" s="12">
        <v>39.200000000000003</v>
      </c>
      <c r="F60" s="12">
        <v>52</v>
      </c>
      <c r="G60" s="154" t="s">
        <v>28</v>
      </c>
      <c r="H60" s="17">
        <v>50.42</v>
      </c>
      <c r="I60" s="154" t="s">
        <v>28</v>
      </c>
    </row>
    <row r="61" spans="1:9" x14ac:dyDescent="0.25">
      <c r="A61" s="5" t="s">
        <v>96</v>
      </c>
      <c r="B61" s="13">
        <v>3107</v>
      </c>
      <c r="C61" s="12" t="s">
        <v>28</v>
      </c>
      <c r="D61" s="12" t="s">
        <v>28</v>
      </c>
      <c r="E61" s="12" t="s">
        <v>28</v>
      </c>
      <c r="F61" s="12" t="s">
        <v>28</v>
      </c>
      <c r="G61" s="154" t="s">
        <v>28</v>
      </c>
      <c r="H61" s="17">
        <v>31.7</v>
      </c>
      <c r="I61" s="154" t="s">
        <v>28</v>
      </c>
    </row>
    <row r="62" spans="1:9" x14ac:dyDescent="0.25">
      <c r="A62" s="5" t="s">
        <v>81</v>
      </c>
      <c r="B62" s="13">
        <v>3184.5455000000002</v>
      </c>
      <c r="C62" s="12">
        <v>32</v>
      </c>
      <c r="D62" s="12">
        <v>6.0916389999999998</v>
      </c>
      <c r="E62" s="12">
        <v>17.2</v>
      </c>
      <c r="F62" s="12" t="s">
        <v>28</v>
      </c>
      <c r="G62" s="154" t="s">
        <v>28</v>
      </c>
      <c r="H62" s="17">
        <v>47.84</v>
      </c>
      <c r="I62" s="154">
        <v>38.411160000000002</v>
      </c>
    </row>
    <row r="63" spans="1:9" x14ac:dyDescent="0.25">
      <c r="A63" s="5" t="s">
        <v>83</v>
      </c>
      <c r="B63" s="13">
        <v>3221.1817999999998</v>
      </c>
      <c r="C63" s="12">
        <v>33</v>
      </c>
      <c r="D63" s="12">
        <v>13.614129999999999</v>
      </c>
      <c r="E63" s="12" t="s">
        <v>28</v>
      </c>
      <c r="F63" s="12" t="s">
        <v>28</v>
      </c>
      <c r="G63" s="154">
        <v>47.2</v>
      </c>
      <c r="H63" s="17">
        <v>60.64</v>
      </c>
      <c r="I63" s="154" t="s">
        <v>28</v>
      </c>
    </row>
    <row r="64" spans="1:9" x14ac:dyDescent="0.25">
      <c r="A64" s="5" t="s">
        <v>9</v>
      </c>
      <c r="B64" s="13">
        <v>3242.5455000000002</v>
      </c>
      <c r="C64" s="12">
        <v>38</v>
      </c>
      <c r="D64" s="12">
        <v>27.298349999999999</v>
      </c>
      <c r="E64" s="12">
        <v>44.7</v>
      </c>
      <c r="F64" s="12">
        <v>51</v>
      </c>
      <c r="G64" s="154" t="s">
        <v>28</v>
      </c>
      <c r="H64" s="17">
        <v>22.34</v>
      </c>
      <c r="I64" s="53">
        <v>1.1068169999999999</v>
      </c>
    </row>
    <row r="65" spans="1:9" x14ac:dyDescent="0.25">
      <c r="A65" s="5" t="s">
        <v>84</v>
      </c>
      <c r="B65" s="13">
        <v>3267.1817999999998</v>
      </c>
      <c r="C65" s="12">
        <v>35</v>
      </c>
      <c r="D65" s="12">
        <v>37.481380000000001</v>
      </c>
      <c r="E65" s="12">
        <v>40.700000000000003</v>
      </c>
      <c r="F65" s="12" t="s">
        <v>28</v>
      </c>
      <c r="G65" s="154" t="s">
        <v>28</v>
      </c>
      <c r="H65" s="17">
        <v>47.44</v>
      </c>
      <c r="I65" s="154" t="s">
        <v>28</v>
      </c>
    </row>
    <row r="66" spans="1:9" x14ac:dyDescent="0.25">
      <c r="A66" s="5" t="s">
        <v>93</v>
      </c>
      <c r="B66" s="13">
        <v>3399.2727</v>
      </c>
      <c r="C66" s="12" t="s">
        <v>28</v>
      </c>
      <c r="D66" s="12">
        <v>49.604030000000002</v>
      </c>
      <c r="E66" s="12">
        <v>34.299999999999997</v>
      </c>
      <c r="F66" s="12">
        <v>29</v>
      </c>
      <c r="G66" s="154" t="s">
        <v>28</v>
      </c>
      <c r="H66" s="17">
        <v>20.84</v>
      </c>
      <c r="I66" s="154">
        <v>0.1230289</v>
      </c>
    </row>
    <row r="67" spans="1:9" x14ac:dyDescent="0.25">
      <c r="A67" s="5" t="s">
        <v>101</v>
      </c>
      <c r="B67" s="13">
        <v>3626.6363999999999</v>
      </c>
      <c r="C67" s="12">
        <v>35</v>
      </c>
      <c r="D67" s="12">
        <v>23.53912</v>
      </c>
      <c r="E67" s="12">
        <v>34.299999999999997</v>
      </c>
      <c r="F67" s="12">
        <v>49</v>
      </c>
      <c r="G67" s="154" t="s">
        <v>28</v>
      </c>
      <c r="H67" s="17">
        <v>35.5</v>
      </c>
      <c r="I67" s="154" t="s">
        <v>28</v>
      </c>
    </row>
    <row r="68" spans="1:9" x14ac:dyDescent="0.25">
      <c r="A68" s="5" t="s">
        <v>103</v>
      </c>
      <c r="B68" s="13">
        <v>3674.8182000000002</v>
      </c>
      <c r="C68" s="12">
        <v>31</v>
      </c>
      <c r="D68" s="12">
        <v>17.032050000000002</v>
      </c>
      <c r="E68" s="12">
        <v>29.5</v>
      </c>
      <c r="F68" s="12">
        <v>25</v>
      </c>
      <c r="G68" s="154">
        <v>68</v>
      </c>
      <c r="H68" s="17">
        <v>35.94</v>
      </c>
      <c r="I68" s="53">
        <v>5.0454359999999996</v>
      </c>
    </row>
    <row r="69" spans="1:9" x14ac:dyDescent="0.25">
      <c r="A69" s="5" t="s">
        <v>86</v>
      </c>
      <c r="B69" s="13">
        <v>3710.4544999999998</v>
      </c>
      <c r="C69" s="12">
        <v>31</v>
      </c>
      <c r="D69" s="12">
        <v>7.718121</v>
      </c>
      <c r="E69" s="12">
        <v>32.299999999999997</v>
      </c>
      <c r="F69" s="12">
        <v>17</v>
      </c>
      <c r="G69" s="154">
        <v>40</v>
      </c>
      <c r="H69" s="17">
        <v>46.96</v>
      </c>
      <c r="I69" s="154">
        <v>2.6794009999999999</v>
      </c>
    </row>
    <row r="70" spans="1:9" x14ac:dyDescent="0.25">
      <c r="A70" s="5" t="s">
        <v>6</v>
      </c>
      <c r="B70" s="13">
        <v>3754.1158999999998</v>
      </c>
      <c r="C70" s="12" t="s">
        <v>28</v>
      </c>
      <c r="D70" s="12">
        <v>11.647729999999999</v>
      </c>
      <c r="E70" s="12" t="s">
        <v>28</v>
      </c>
      <c r="F70" s="12" t="s">
        <v>28</v>
      </c>
      <c r="G70" s="154" t="s">
        <v>28</v>
      </c>
      <c r="H70" s="17" t="s">
        <v>28</v>
      </c>
      <c r="I70" s="154" t="s">
        <v>28</v>
      </c>
    </row>
    <row r="71" spans="1:9" x14ac:dyDescent="0.25">
      <c r="A71" s="5" t="s">
        <v>123</v>
      </c>
      <c r="B71" s="13">
        <v>3816.2727</v>
      </c>
      <c r="C71" s="12">
        <v>38</v>
      </c>
      <c r="D71" s="12">
        <v>13.27069</v>
      </c>
      <c r="E71" s="12">
        <v>36.200000000000003</v>
      </c>
      <c r="F71" s="12" t="s">
        <v>28</v>
      </c>
      <c r="G71" s="154" t="s">
        <v>28</v>
      </c>
      <c r="H71" s="17">
        <v>38.14</v>
      </c>
      <c r="I71" s="154" t="s">
        <v>28</v>
      </c>
    </row>
    <row r="72" spans="1:9" x14ac:dyDescent="0.25">
      <c r="A72" s="5" t="s">
        <v>95</v>
      </c>
      <c r="B72" s="13">
        <v>3914.7273</v>
      </c>
      <c r="C72" s="12">
        <v>33</v>
      </c>
      <c r="D72" s="12">
        <v>3.9987750000000002</v>
      </c>
      <c r="E72" s="12">
        <v>30.9</v>
      </c>
      <c r="F72" s="12">
        <v>40</v>
      </c>
      <c r="G72" s="154">
        <v>39</v>
      </c>
      <c r="H72" s="17">
        <v>37.08</v>
      </c>
      <c r="I72" s="154">
        <v>4.6222089999999998</v>
      </c>
    </row>
    <row r="73" spans="1:9" x14ac:dyDescent="0.25">
      <c r="A73" s="5" t="s">
        <v>94</v>
      </c>
      <c r="B73" s="13">
        <v>4045.7273</v>
      </c>
      <c r="C73" s="12">
        <v>22</v>
      </c>
      <c r="D73" s="12">
        <v>21.957899999999999</v>
      </c>
      <c r="E73" s="12" t="s">
        <v>28</v>
      </c>
      <c r="F73" s="12" t="s">
        <v>28</v>
      </c>
      <c r="G73" s="154" t="s">
        <v>28</v>
      </c>
      <c r="H73" s="17">
        <v>34.520000000000003</v>
      </c>
      <c r="I73" s="154">
        <v>4.6019079999999999</v>
      </c>
    </row>
    <row r="74" spans="1:9" x14ac:dyDescent="0.25">
      <c r="A74" s="5" t="s">
        <v>85</v>
      </c>
      <c r="B74" s="13">
        <v>4113.7272999999996</v>
      </c>
      <c r="C74" s="12" t="s">
        <v>28</v>
      </c>
      <c r="D74" s="12" t="s">
        <v>28</v>
      </c>
      <c r="E74" s="12" t="s">
        <v>28</v>
      </c>
      <c r="F74" s="12" t="s">
        <v>28</v>
      </c>
      <c r="G74" s="154" t="s">
        <v>28</v>
      </c>
      <c r="H74" s="17">
        <v>31.48</v>
      </c>
      <c r="I74" s="53" t="s">
        <v>28</v>
      </c>
    </row>
    <row r="75" spans="1:9" x14ac:dyDescent="0.25">
      <c r="A75" s="5" t="s">
        <v>176</v>
      </c>
      <c r="B75" s="13">
        <v>4114.6364000000003</v>
      </c>
      <c r="C75" s="12">
        <v>38</v>
      </c>
      <c r="D75" s="12">
        <v>26.61157</v>
      </c>
      <c r="E75" s="12">
        <v>39.5</v>
      </c>
      <c r="F75" s="12" t="s">
        <v>28</v>
      </c>
      <c r="G75" s="154" t="s">
        <v>28</v>
      </c>
      <c r="H75" s="17" t="s">
        <v>28</v>
      </c>
      <c r="I75" s="53" t="s">
        <v>28</v>
      </c>
    </row>
    <row r="76" spans="1:9" x14ac:dyDescent="0.25">
      <c r="A76" s="5" t="s">
        <v>7</v>
      </c>
      <c r="B76" s="13">
        <v>4123.3635999999997</v>
      </c>
      <c r="C76" s="12">
        <v>39</v>
      </c>
      <c r="D76" s="12">
        <v>24.60153</v>
      </c>
      <c r="E76" s="12">
        <v>37.9</v>
      </c>
      <c r="F76" s="12">
        <v>45</v>
      </c>
      <c r="G76" s="154">
        <v>61</v>
      </c>
      <c r="H76" s="17">
        <v>51.44</v>
      </c>
      <c r="I76" s="154">
        <v>5.3857869999999997</v>
      </c>
    </row>
    <row r="77" spans="1:9" x14ac:dyDescent="0.25">
      <c r="A77" s="5" t="s">
        <v>120</v>
      </c>
      <c r="B77" s="13">
        <v>4188.0509000000002</v>
      </c>
      <c r="C77" s="12" t="s">
        <v>28</v>
      </c>
      <c r="D77" s="12" t="s">
        <v>28</v>
      </c>
      <c r="E77" s="12">
        <v>58.7</v>
      </c>
      <c r="F77" s="12" t="s">
        <v>28</v>
      </c>
      <c r="G77" s="154" t="s">
        <v>28</v>
      </c>
      <c r="H77" s="17">
        <v>31.24</v>
      </c>
      <c r="I77" s="154" t="s">
        <v>28</v>
      </c>
    </row>
    <row r="78" spans="1:9" x14ac:dyDescent="0.25">
      <c r="A78" s="5" t="s">
        <v>90</v>
      </c>
      <c r="B78" s="13">
        <v>4294.9090999999999</v>
      </c>
      <c r="C78" s="12">
        <v>32</v>
      </c>
      <c r="D78" s="12">
        <v>23.248940000000001</v>
      </c>
      <c r="E78" s="12">
        <v>37</v>
      </c>
      <c r="F78" s="12">
        <v>34</v>
      </c>
      <c r="G78" s="154">
        <v>50</v>
      </c>
      <c r="H78" s="17">
        <v>44.58</v>
      </c>
      <c r="I78" s="154" t="s">
        <v>28</v>
      </c>
    </row>
    <row r="79" spans="1:9" x14ac:dyDescent="0.25">
      <c r="A79" s="5" t="s">
        <v>100</v>
      </c>
      <c r="B79" s="13">
        <v>4458.9090999999999</v>
      </c>
      <c r="C79" s="12">
        <v>41</v>
      </c>
      <c r="D79" s="12">
        <v>19.052060000000001</v>
      </c>
      <c r="E79" s="12">
        <v>44.9</v>
      </c>
      <c r="F79" s="12" t="s">
        <v>28</v>
      </c>
      <c r="G79" s="154">
        <v>27</v>
      </c>
      <c r="H79" s="17">
        <v>30.7</v>
      </c>
      <c r="I79" s="154" t="s">
        <v>28</v>
      </c>
    </row>
    <row r="80" spans="1:9" x14ac:dyDescent="0.25">
      <c r="A80" s="5" t="s">
        <v>226</v>
      </c>
      <c r="B80" s="13">
        <v>4500</v>
      </c>
      <c r="C80" s="12" t="s">
        <v>28</v>
      </c>
      <c r="D80" s="12" t="s">
        <v>28</v>
      </c>
      <c r="E80" s="12">
        <v>20.2</v>
      </c>
      <c r="F80" s="12">
        <v>1</v>
      </c>
      <c r="G80" s="154" t="s">
        <v>28</v>
      </c>
      <c r="H80" s="17" t="s">
        <v>28</v>
      </c>
      <c r="I80" s="154" t="s">
        <v>28</v>
      </c>
    </row>
    <row r="81" spans="1:9" x14ac:dyDescent="0.25">
      <c r="A81" s="5" t="s">
        <v>108</v>
      </c>
      <c r="B81" s="13">
        <v>4562.2727000000004</v>
      </c>
      <c r="C81" s="12">
        <v>23</v>
      </c>
      <c r="D81" s="12" t="s">
        <v>28</v>
      </c>
      <c r="E81" s="12" t="s">
        <v>28</v>
      </c>
      <c r="F81" s="12">
        <v>24</v>
      </c>
      <c r="G81" s="154" t="s">
        <v>28</v>
      </c>
      <c r="H81" s="17">
        <v>20.62</v>
      </c>
      <c r="I81" s="154">
        <v>17.65719</v>
      </c>
    </row>
    <row r="82" spans="1:9" x14ac:dyDescent="0.25">
      <c r="A82" s="5" t="s">
        <v>73</v>
      </c>
      <c r="B82" s="13">
        <v>4593.9090999999999</v>
      </c>
      <c r="C82" s="12" t="s">
        <v>28</v>
      </c>
      <c r="D82" s="12" t="s">
        <v>28</v>
      </c>
      <c r="E82" s="12" t="s">
        <v>28</v>
      </c>
      <c r="F82" s="12" t="s">
        <v>28</v>
      </c>
      <c r="G82" s="154" t="s">
        <v>28</v>
      </c>
      <c r="H82" s="17">
        <v>34.64</v>
      </c>
      <c r="I82" s="154" t="s">
        <v>28</v>
      </c>
    </row>
    <row r="83" spans="1:9" x14ac:dyDescent="0.25">
      <c r="A83" s="5" t="s">
        <v>134</v>
      </c>
      <c r="B83" s="13">
        <v>4687.5455000000002</v>
      </c>
      <c r="C83" s="12" t="s">
        <v>28</v>
      </c>
      <c r="D83" s="12">
        <v>34.263739999999999</v>
      </c>
      <c r="E83" s="12" t="s">
        <v>28</v>
      </c>
      <c r="F83" s="12">
        <v>34</v>
      </c>
      <c r="G83" s="154" t="s">
        <v>28</v>
      </c>
      <c r="H83" s="17">
        <v>35.9</v>
      </c>
      <c r="I83" s="154">
        <v>15.26144</v>
      </c>
    </row>
    <row r="84" spans="1:9" x14ac:dyDescent="0.25">
      <c r="A84" s="5" t="s">
        <v>91</v>
      </c>
      <c r="B84" s="13">
        <v>4687.8181999999997</v>
      </c>
      <c r="C84" s="12">
        <v>28</v>
      </c>
      <c r="D84" s="12">
        <v>40.97363</v>
      </c>
      <c r="E84" s="12" t="s">
        <v>28</v>
      </c>
      <c r="F84" s="12">
        <v>15</v>
      </c>
      <c r="G84" s="154" t="s">
        <v>28</v>
      </c>
      <c r="H84" s="17">
        <v>15.16</v>
      </c>
      <c r="I84" s="53" t="s">
        <v>28</v>
      </c>
    </row>
    <row r="85" spans="1:9" x14ac:dyDescent="0.25">
      <c r="A85" s="5" t="s">
        <v>239</v>
      </c>
      <c r="B85" s="13">
        <v>4731.5455000000002</v>
      </c>
      <c r="C85" s="12">
        <v>32</v>
      </c>
      <c r="D85" s="12">
        <v>20.914709999999999</v>
      </c>
      <c r="E85" s="12">
        <v>32.4</v>
      </c>
      <c r="F85" s="12">
        <v>47</v>
      </c>
      <c r="G85" s="154" t="s">
        <v>28</v>
      </c>
      <c r="H85" s="17">
        <v>47.4</v>
      </c>
      <c r="I85" s="154">
        <v>6.1950960000000004</v>
      </c>
    </row>
    <row r="86" spans="1:9" x14ac:dyDescent="0.25">
      <c r="A86" s="5" t="s">
        <v>80</v>
      </c>
      <c r="B86" s="13">
        <v>4959.3635999999997</v>
      </c>
      <c r="C86" s="12">
        <v>35</v>
      </c>
      <c r="D86" s="12">
        <v>11.911820000000001</v>
      </c>
      <c r="E86" s="12">
        <v>17.7</v>
      </c>
      <c r="F86" s="12" t="s">
        <v>28</v>
      </c>
      <c r="G86" s="154">
        <v>38.65</v>
      </c>
      <c r="H86" s="17">
        <v>54.14</v>
      </c>
      <c r="I86" s="53">
        <v>9.2657910000000001</v>
      </c>
    </row>
    <row r="87" spans="1:9" x14ac:dyDescent="0.25">
      <c r="A87" s="5" t="s">
        <v>24</v>
      </c>
      <c r="B87" s="13">
        <v>4983.9920000000002</v>
      </c>
      <c r="C87" s="12" t="s">
        <v>28</v>
      </c>
      <c r="D87" s="12">
        <v>57.905819999999999</v>
      </c>
      <c r="E87" s="12">
        <v>21.1</v>
      </c>
      <c r="F87" s="12" t="s">
        <v>28</v>
      </c>
      <c r="G87" s="154" t="s">
        <v>28</v>
      </c>
      <c r="H87" s="17" t="s">
        <v>28</v>
      </c>
      <c r="I87" s="154" t="s">
        <v>28</v>
      </c>
    </row>
    <row r="88" spans="1:9" x14ac:dyDescent="0.25">
      <c r="A88" s="5" t="s">
        <v>98</v>
      </c>
      <c r="B88" s="13">
        <v>5026.8181999999997</v>
      </c>
      <c r="C88" s="12" t="s">
        <v>28</v>
      </c>
      <c r="D88" s="12" t="s">
        <v>28</v>
      </c>
      <c r="E88" s="12" t="s">
        <v>28</v>
      </c>
      <c r="F88" s="12" t="s">
        <v>28</v>
      </c>
      <c r="G88" s="154" t="s">
        <v>28</v>
      </c>
      <c r="H88" s="17">
        <v>32.68</v>
      </c>
      <c r="I88" s="154" t="s">
        <v>28</v>
      </c>
    </row>
    <row r="89" spans="1:9" x14ac:dyDescent="0.25">
      <c r="A89" s="5" t="s">
        <v>116</v>
      </c>
      <c r="B89" s="13">
        <v>5093.2727000000004</v>
      </c>
      <c r="C89" s="12">
        <v>39</v>
      </c>
      <c r="D89" s="12">
        <v>17.79045</v>
      </c>
      <c r="E89" s="12">
        <v>37.1</v>
      </c>
      <c r="F89" s="12" t="s">
        <v>28</v>
      </c>
      <c r="G89" s="154">
        <v>44</v>
      </c>
      <c r="H89" s="17">
        <v>59.68</v>
      </c>
      <c r="I89" s="53">
        <v>19.018899999999999</v>
      </c>
    </row>
    <row r="90" spans="1:9" x14ac:dyDescent="0.25">
      <c r="A90" s="5" t="s">
        <v>114</v>
      </c>
      <c r="B90" s="13">
        <v>5284</v>
      </c>
      <c r="C90" s="12" t="s">
        <v>28</v>
      </c>
      <c r="D90" s="12" t="s">
        <v>28</v>
      </c>
      <c r="E90" s="12" t="s">
        <v>28</v>
      </c>
      <c r="F90" s="12" t="s">
        <v>28</v>
      </c>
      <c r="G90" s="154" t="s">
        <v>28</v>
      </c>
      <c r="H90" s="17">
        <v>34.28</v>
      </c>
      <c r="I90" s="154" t="s">
        <v>28</v>
      </c>
    </row>
    <row r="91" spans="1:9" x14ac:dyDescent="0.25">
      <c r="A91" s="5" t="s">
        <v>102</v>
      </c>
      <c r="B91" s="13">
        <v>5427.3635999999997</v>
      </c>
      <c r="C91" s="12">
        <v>35</v>
      </c>
      <c r="D91" s="12">
        <v>12.365170000000001</v>
      </c>
      <c r="E91" s="12">
        <v>36.6</v>
      </c>
      <c r="F91" s="12" t="s">
        <v>28</v>
      </c>
      <c r="G91" s="154">
        <v>28.25</v>
      </c>
      <c r="H91" s="17">
        <v>44.5</v>
      </c>
      <c r="I91" s="154">
        <v>1.9343680000000001</v>
      </c>
    </row>
    <row r="92" spans="1:9" x14ac:dyDescent="0.25">
      <c r="A92" s="5" t="s">
        <v>209</v>
      </c>
      <c r="B92" s="13">
        <v>5492.9090999999999</v>
      </c>
      <c r="C92" s="12" t="s">
        <v>28</v>
      </c>
      <c r="D92" s="12" t="s">
        <v>28</v>
      </c>
      <c r="E92" s="12">
        <v>23.5</v>
      </c>
      <c r="F92" s="12" t="s">
        <v>28</v>
      </c>
      <c r="G92" s="154" t="s">
        <v>28</v>
      </c>
      <c r="H92" s="17" t="s">
        <v>28</v>
      </c>
      <c r="I92" s="154" t="s">
        <v>28</v>
      </c>
    </row>
    <row r="93" spans="1:9" x14ac:dyDescent="0.25">
      <c r="A93" s="5" t="s">
        <v>99</v>
      </c>
      <c r="B93" s="13">
        <v>5581.2727000000004</v>
      </c>
      <c r="C93" s="12" t="s">
        <v>28</v>
      </c>
      <c r="D93" s="12">
        <v>7.2448639999999997</v>
      </c>
      <c r="E93" s="12" t="s">
        <v>28</v>
      </c>
      <c r="F93" s="12" t="s">
        <v>28</v>
      </c>
      <c r="G93" s="154">
        <v>16.649999999999999</v>
      </c>
      <c r="H93" s="17">
        <v>49.82</v>
      </c>
      <c r="I93" s="53" t="s">
        <v>28</v>
      </c>
    </row>
    <row r="94" spans="1:9" x14ac:dyDescent="0.25">
      <c r="A94" s="5" t="s">
        <v>211</v>
      </c>
      <c r="B94" s="13">
        <v>5730.2727000000004</v>
      </c>
      <c r="C94" s="12" t="s">
        <v>28</v>
      </c>
      <c r="D94" s="12" t="s">
        <v>28</v>
      </c>
      <c r="E94" s="12">
        <v>29.4</v>
      </c>
      <c r="F94" s="12" t="s">
        <v>28</v>
      </c>
      <c r="G94" s="154" t="s">
        <v>28</v>
      </c>
      <c r="H94" s="17" t="s">
        <v>28</v>
      </c>
      <c r="I94" s="53" t="s">
        <v>28</v>
      </c>
    </row>
    <row r="95" spans="1:9" x14ac:dyDescent="0.25">
      <c r="A95" s="5" t="s">
        <v>109</v>
      </c>
      <c r="B95" s="13">
        <v>5780.7272999999996</v>
      </c>
      <c r="C95" s="12">
        <v>36</v>
      </c>
      <c r="D95" s="12">
        <v>26.807449999999999</v>
      </c>
      <c r="E95" s="12">
        <v>27.8</v>
      </c>
      <c r="F95" s="12">
        <v>28</v>
      </c>
      <c r="G95" s="154" t="s">
        <v>28</v>
      </c>
      <c r="H95" s="17">
        <v>34.68</v>
      </c>
      <c r="I95" s="154">
        <v>2.686401</v>
      </c>
    </row>
    <row r="96" spans="1:9" x14ac:dyDescent="0.25">
      <c r="A96" s="5" t="s">
        <v>141</v>
      </c>
      <c r="B96" s="13">
        <v>5902.4321</v>
      </c>
      <c r="C96" s="12" t="s">
        <v>28</v>
      </c>
      <c r="D96" s="12" t="s">
        <v>28</v>
      </c>
      <c r="E96" s="12" t="s">
        <v>28</v>
      </c>
      <c r="F96" s="12" t="s">
        <v>28</v>
      </c>
      <c r="G96" s="154" t="s">
        <v>28</v>
      </c>
      <c r="H96" s="17">
        <v>29.04</v>
      </c>
      <c r="I96" s="154" t="s">
        <v>28</v>
      </c>
    </row>
    <row r="97" spans="1:9" x14ac:dyDescent="0.25">
      <c r="A97" s="5" t="s">
        <v>210</v>
      </c>
      <c r="B97" s="13">
        <v>5906</v>
      </c>
      <c r="C97" s="12" t="s">
        <v>28</v>
      </c>
      <c r="D97" s="12" t="s">
        <v>28</v>
      </c>
      <c r="E97" s="12">
        <v>26.7</v>
      </c>
      <c r="F97" s="12" t="s">
        <v>28</v>
      </c>
      <c r="G97" s="154" t="s">
        <v>28</v>
      </c>
      <c r="H97" s="17" t="s">
        <v>28</v>
      </c>
      <c r="I97" s="154" t="s">
        <v>28</v>
      </c>
    </row>
    <row r="98" spans="1:9" x14ac:dyDescent="0.25">
      <c r="A98" s="5" t="s">
        <v>136</v>
      </c>
      <c r="B98" s="13">
        <v>5953.0909000000001</v>
      </c>
      <c r="C98" s="12">
        <v>41</v>
      </c>
      <c r="D98" s="12" t="s">
        <v>28</v>
      </c>
      <c r="E98" s="12">
        <v>43.4</v>
      </c>
      <c r="F98" s="12">
        <v>44</v>
      </c>
      <c r="G98" s="154">
        <v>30</v>
      </c>
      <c r="H98" s="17">
        <v>35.380000000000003</v>
      </c>
      <c r="I98" s="154" t="s">
        <v>28</v>
      </c>
    </row>
    <row r="99" spans="1:9" x14ac:dyDescent="0.25">
      <c r="A99" s="5" t="s">
        <v>214</v>
      </c>
      <c r="B99" s="13">
        <v>5979.9090999999999</v>
      </c>
      <c r="C99" s="12" t="s">
        <v>28</v>
      </c>
      <c r="D99" s="12" t="s">
        <v>28</v>
      </c>
      <c r="E99" s="12">
        <v>33.200000000000003</v>
      </c>
      <c r="F99" s="12" t="s">
        <v>28</v>
      </c>
      <c r="G99" s="154" t="s">
        <v>28</v>
      </c>
      <c r="H99" s="17" t="s">
        <v>28</v>
      </c>
      <c r="I99" s="154" t="s">
        <v>28</v>
      </c>
    </row>
    <row r="100" spans="1:9" x14ac:dyDescent="0.25">
      <c r="A100" s="5" t="s">
        <v>97</v>
      </c>
      <c r="B100" s="13">
        <v>6040.9862999999996</v>
      </c>
      <c r="C100" s="12">
        <v>35</v>
      </c>
      <c r="D100" s="12">
        <v>20.807690000000001</v>
      </c>
      <c r="E100" s="12" t="s">
        <v>28</v>
      </c>
      <c r="F100" s="12" t="s">
        <v>28</v>
      </c>
      <c r="G100" s="154" t="s">
        <v>28</v>
      </c>
      <c r="H100" s="17">
        <v>35.54</v>
      </c>
      <c r="I100" s="154">
        <v>7.931978</v>
      </c>
    </row>
    <row r="101" spans="1:9" x14ac:dyDescent="0.25">
      <c r="A101" s="5" t="s">
        <v>107</v>
      </c>
      <c r="B101" s="13">
        <v>6108.5455000000002</v>
      </c>
      <c r="C101" s="12">
        <v>31</v>
      </c>
      <c r="D101" s="12">
        <v>27.190750000000001</v>
      </c>
      <c r="E101" s="12">
        <v>17.7</v>
      </c>
      <c r="F101" s="12" t="s">
        <v>28</v>
      </c>
      <c r="G101" s="154" t="s">
        <v>28</v>
      </c>
      <c r="H101" s="17">
        <v>35.840000000000003</v>
      </c>
      <c r="I101" s="154">
        <v>71.671539999999993</v>
      </c>
    </row>
    <row r="102" spans="1:9" x14ac:dyDescent="0.25">
      <c r="A102" s="5" t="s">
        <v>177</v>
      </c>
      <c r="B102" s="13">
        <v>6246.5455000000002</v>
      </c>
      <c r="C102" s="12">
        <v>33</v>
      </c>
      <c r="D102" s="12" t="s">
        <v>28</v>
      </c>
      <c r="E102" s="12">
        <v>16.3</v>
      </c>
      <c r="F102" s="12" t="s">
        <v>28</v>
      </c>
      <c r="G102" s="154" t="s">
        <v>28</v>
      </c>
      <c r="H102" s="17" t="s">
        <v>28</v>
      </c>
      <c r="I102" s="154" t="s">
        <v>28</v>
      </c>
    </row>
    <row r="103" spans="1:9" x14ac:dyDescent="0.25">
      <c r="A103" s="5" t="s">
        <v>213</v>
      </c>
      <c r="B103" s="13">
        <v>6262.0909000000001</v>
      </c>
      <c r="C103" s="12" t="s">
        <v>28</v>
      </c>
      <c r="D103" s="12" t="s">
        <v>28</v>
      </c>
      <c r="E103" s="12">
        <v>45.4</v>
      </c>
      <c r="F103" s="12" t="s">
        <v>28</v>
      </c>
      <c r="G103" s="154" t="s">
        <v>28</v>
      </c>
      <c r="H103" s="17" t="s">
        <v>28</v>
      </c>
      <c r="I103" s="154" t="s">
        <v>28</v>
      </c>
    </row>
    <row r="104" spans="1:9" x14ac:dyDescent="0.25">
      <c r="A104" s="5" t="s">
        <v>22</v>
      </c>
      <c r="B104" s="13">
        <v>6348</v>
      </c>
      <c r="C104" s="12">
        <v>29</v>
      </c>
      <c r="D104" s="12">
        <v>25.419250000000002</v>
      </c>
      <c r="E104" s="12">
        <v>16</v>
      </c>
      <c r="F104" s="12" t="s">
        <v>28</v>
      </c>
      <c r="G104" s="154" t="s">
        <v>28</v>
      </c>
      <c r="H104" s="17">
        <v>32.56</v>
      </c>
      <c r="I104" s="154" t="s">
        <v>28</v>
      </c>
    </row>
    <row r="105" spans="1:9" x14ac:dyDescent="0.25">
      <c r="A105" s="5" t="s">
        <v>127</v>
      </c>
      <c r="B105" s="13">
        <v>6357.6364000000003</v>
      </c>
      <c r="C105" s="12">
        <v>28</v>
      </c>
      <c r="D105" s="12">
        <v>37.009140000000002</v>
      </c>
      <c r="E105" s="12">
        <v>31.3</v>
      </c>
      <c r="F105" s="12">
        <v>30</v>
      </c>
      <c r="G105" s="154">
        <v>40</v>
      </c>
      <c r="H105" s="17">
        <v>64.16</v>
      </c>
      <c r="I105" s="154" t="s">
        <v>28</v>
      </c>
    </row>
    <row r="106" spans="1:9" x14ac:dyDescent="0.25">
      <c r="A106" s="5" t="s">
        <v>115</v>
      </c>
      <c r="B106" s="13">
        <v>6433</v>
      </c>
      <c r="C106" s="12">
        <v>30</v>
      </c>
      <c r="D106" s="12">
        <v>17.066310000000001</v>
      </c>
      <c r="E106" s="12">
        <v>44.4</v>
      </c>
      <c r="F106" s="12">
        <v>49</v>
      </c>
      <c r="G106" s="154">
        <v>25</v>
      </c>
      <c r="H106" s="17">
        <v>41.9</v>
      </c>
      <c r="I106" s="154">
        <v>0.42175760000000001</v>
      </c>
    </row>
    <row r="107" spans="1:9" x14ac:dyDescent="0.25">
      <c r="A107" s="5" t="s">
        <v>105</v>
      </c>
      <c r="B107" s="13">
        <v>6434.2727000000004</v>
      </c>
      <c r="C107" s="12" t="s">
        <v>28</v>
      </c>
      <c r="D107" s="12" t="s">
        <v>28</v>
      </c>
      <c r="E107" s="12">
        <v>39.700000000000003</v>
      </c>
      <c r="F107" s="12">
        <v>37</v>
      </c>
      <c r="G107" s="154" t="s">
        <v>28</v>
      </c>
      <c r="H107" s="17">
        <v>19.62</v>
      </c>
      <c r="I107" s="154" t="s">
        <v>28</v>
      </c>
    </row>
    <row r="108" spans="1:9" x14ac:dyDescent="0.25">
      <c r="A108" s="5" t="s">
        <v>119</v>
      </c>
      <c r="B108" s="13">
        <v>6533.5455000000002</v>
      </c>
      <c r="C108" s="12">
        <v>34</v>
      </c>
      <c r="D108" s="12" t="s">
        <v>28</v>
      </c>
      <c r="E108" s="12">
        <v>43.8</v>
      </c>
      <c r="F108" s="12">
        <v>45</v>
      </c>
      <c r="G108" s="154" t="s">
        <v>28</v>
      </c>
      <c r="H108" s="17">
        <v>33.76</v>
      </c>
      <c r="I108" s="154" t="s">
        <v>28</v>
      </c>
    </row>
    <row r="109" spans="1:9" x14ac:dyDescent="0.25">
      <c r="A109" s="5" t="s">
        <v>112</v>
      </c>
      <c r="B109" s="13">
        <v>6573.8181999999997</v>
      </c>
      <c r="C109" s="12" t="s">
        <v>28</v>
      </c>
      <c r="D109" s="12" t="s">
        <v>28</v>
      </c>
      <c r="E109" s="12" t="s">
        <v>28</v>
      </c>
      <c r="F109" s="12" t="s">
        <v>28</v>
      </c>
      <c r="G109" s="154" t="s">
        <v>28</v>
      </c>
      <c r="H109" s="17">
        <v>32.22</v>
      </c>
      <c r="I109" s="154" t="s">
        <v>28</v>
      </c>
    </row>
    <row r="110" spans="1:9" x14ac:dyDescent="0.25">
      <c r="A110" s="5" t="s">
        <v>113</v>
      </c>
      <c r="B110" s="13">
        <v>6748</v>
      </c>
      <c r="C110" s="12">
        <v>20</v>
      </c>
      <c r="D110" s="12" t="s">
        <v>28</v>
      </c>
      <c r="E110" s="12">
        <v>26.8</v>
      </c>
      <c r="F110" s="12">
        <v>30</v>
      </c>
      <c r="G110" s="154">
        <v>45</v>
      </c>
      <c r="H110" s="17">
        <v>39.020000000000003</v>
      </c>
      <c r="I110" s="154">
        <v>5.5969379999999997</v>
      </c>
    </row>
    <row r="111" spans="1:9" x14ac:dyDescent="0.25">
      <c r="A111" s="5" t="s">
        <v>121</v>
      </c>
      <c r="B111" s="13">
        <v>6850.2727000000004</v>
      </c>
      <c r="C111" s="12">
        <v>35</v>
      </c>
      <c r="D111" s="12">
        <v>29.211459999999999</v>
      </c>
      <c r="E111" s="12">
        <v>29.8</v>
      </c>
      <c r="F111" s="12">
        <v>28</v>
      </c>
      <c r="G111" s="154" t="s">
        <v>28</v>
      </c>
      <c r="H111" s="17">
        <v>33.340000000000003</v>
      </c>
      <c r="I111" s="154">
        <v>8.521801</v>
      </c>
    </row>
    <row r="112" spans="1:9" x14ac:dyDescent="0.25">
      <c r="A112" s="5" t="s">
        <v>106</v>
      </c>
      <c r="B112" s="13">
        <v>6919</v>
      </c>
      <c r="C112" s="12">
        <v>32</v>
      </c>
      <c r="D112" s="12">
        <v>13.7021</v>
      </c>
      <c r="E112" s="12">
        <v>12.5</v>
      </c>
      <c r="F112" s="12">
        <v>0</v>
      </c>
      <c r="G112" s="154">
        <v>31.25</v>
      </c>
      <c r="H112" s="17">
        <v>37.24</v>
      </c>
      <c r="I112" s="154" t="s">
        <v>28</v>
      </c>
    </row>
    <row r="113" spans="1:9" x14ac:dyDescent="0.25">
      <c r="A113" s="5" t="s">
        <v>104</v>
      </c>
      <c r="B113" s="13">
        <v>6936.5455000000002</v>
      </c>
      <c r="C113" s="12" t="s">
        <v>28</v>
      </c>
      <c r="D113" s="12" t="s">
        <v>28</v>
      </c>
      <c r="E113" s="12" t="s">
        <v>28</v>
      </c>
      <c r="F113" s="12" t="s">
        <v>28</v>
      </c>
      <c r="G113" s="154" t="s">
        <v>28</v>
      </c>
      <c r="H113" s="17">
        <v>36.28</v>
      </c>
      <c r="I113" s="154" t="s">
        <v>28</v>
      </c>
    </row>
    <row r="114" spans="1:9" x14ac:dyDescent="0.25">
      <c r="A114" s="5" t="s">
        <v>212</v>
      </c>
      <c r="B114" s="13">
        <v>7013.9090999999999</v>
      </c>
      <c r="C114" s="12" t="s">
        <v>28</v>
      </c>
      <c r="D114" s="12" t="s">
        <v>28</v>
      </c>
      <c r="E114" s="12">
        <v>22.9</v>
      </c>
      <c r="F114" s="12" t="s">
        <v>28</v>
      </c>
      <c r="G114" s="154" t="s">
        <v>28</v>
      </c>
      <c r="H114" s="17" t="s">
        <v>28</v>
      </c>
      <c r="I114" s="154" t="s">
        <v>28</v>
      </c>
    </row>
    <row r="115" spans="1:9" x14ac:dyDescent="0.25">
      <c r="A115" s="5" t="s">
        <v>110</v>
      </c>
      <c r="B115" s="13">
        <v>7065.2727000000004</v>
      </c>
      <c r="C115" s="12">
        <v>23</v>
      </c>
      <c r="D115" s="12">
        <v>9.8373679999999997</v>
      </c>
      <c r="E115" s="12">
        <v>21.4</v>
      </c>
      <c r="F115" s="12">
        <v>6</v>
      </c>
      <c r="G115" s="154">
        <v>17.55</v>
      </c>
      <c r="H115" s="17">
        <v>35.9</v>
      </c>
      <c r="I115" s="154">
        <v>33.805239999999998</v>
      </c>
    </row>
    <row r="116" spans="1:9" x14ac:dyDescent="0.25">
      <c r="A116" s="5" t="s">
        <v>117</v>
      </c>
      <c r="B116" s="13">
        <v>7085.8181999999997</v>
      </c>
      <c r="C116" s="12">
        <v>23</v>
      </c>
      <c r="D116" s="12" t="s">
        <v>28</v>
      </c>
      <c r="E116" s="12">
        <v>34</v>
      </c>
      <c r="F116" s="12">
        <v>36</v>
      </c>
      <c r="G116" s="154">
        <v>71</v>
      </c>
      <c r="H116" s="17">
        <v>53.6</v>
      </c>
      <c r="I116" s="154" t="s">
        <v>28</v>
      </c>
    </row>
    <row r="117" spans="1:9" x14ac:dyDescent="0.25">
      <c r="A117" s="5" t="s">
        <v>5</v>
      </c>
      <c r="B117" s="13">
        <v>7503.7272999999996</v>
      </c>
      <c r="C117" s="12">
        <v>34</v>
      </c>
      <c r="D117" s="12">
        <v>33.011110000000002</v>
      </c>
      <c r="E117" s="12">
        <v>26.1</v>
      </c>
      <c r="F117" s="12">
        <v>35</v>
      </c>
      <c r="G117" s="154">
        <v>29</v>
      </c>
      <c r="H117" s="17">
        <v>41.48</v>
      </c>
      <c r="I117" s="53" t="s">
        <v>28</v>
      </c>
    </row>
    <row r="118" spans="1:9" x14ac:dyDescent="0.25">
      <c r="A118" s="5" t="s">
        <v>92</v>
      </c>
      <c r="B118" s="13">
        <v>7607.0135</v>
      </c>
      <c r="C118" s="12">
        <v>29</v>
      </c>
      <c r="D118" s="12">
        <v>18.07123</v>
      </c>
      <c r="E118" s="12" t="s">
        <v>28</v>
      </c>
      <c r="F118" s="12" t="s">
        <v>28</v>
      </c>
      <c r="G118" s="154" t="s">
        <v>28</v>
      </c>
      <c r="H118" s="17">
        <v>37.659999999999997</v>
      </c>
      <c r="I118" s="53">
        <v>31.419090000000001</v>
      </c>
    </row>
    <row r="119" spans="1:9" x14ac:dyDescent="0.25">
      <c r="A119" s="5" t="s">
        <v>111</v>
      </c>
      <c r="B119" s="13">
        <v>8000.6364000000003</v>
      </c>
      <c r="C119" s="12">
        <v>38</v>
      </c>
      <c r="D119" s="12">
        <v>17.03049</v>
      </c>
      <c r="E119" s="12">
        <v>7.7</v>
      </c>
      <c r="F119" s="12">
        <v>5</v>
      </c>
      <c r="G119" s="154">
        <v>34.299999999999997</v>
      </c>
      <c r="H119" s="17">
        <v>47.56</v>
      </c>
      <c r="I119" s="154">
        <v>29.792760000000001</v>
      </c>
    </row>
    <row r="120" spans="1:9" x14ac:dyDescent="0.25">
      <c r="A120" s="5" t="s">
        <v>130</v>
      </c>
      <c r="B120" s="13">
        <v>8553.5455000000002</v>
      </c>
      <c r="C120" s="12">
        <v>27</v>
      </c>
      <c r="D120" s="12">
        <v>28.41949</v>
      </c>
      <c r="E120" s="12">
        <v>26.3</v>
      </c>
      <c r="F120" s="12">
        <v>33</v>
      </c>
      <c r="G120" s="154">
        <v>34</v>
      </c>
      <c r="H120" s="17">
        <v>26.88</v>
      </c>
      <c r="I120" s="53">
        <v>86.36354</v>
      </c>
    </row>
    <row r="121" spans="1:9" x14ac:dyDescent="0.25">
      <c r="A121" s="5" t="s">
        <v>140</v>
      </c>
      <c r="B121" s="13">
        <v>9063.8181999999997</v>
      </c>
      <c r="C121" s="12">
        <v>27</v>
      </c>
      <c r="D121" s="12">
        <v>14.66033</v>
      </c>
      <c r="E121" s="12">
        <v>27.3</v>
      </c>
      <c r="F121" s="12">
        <v>22</v>
      </c>
      <c r="G121" s="154" t="s">
        <v>28</v>
      </c>
      <c r="H121" s="17">
        <v>50.88</v>
      </c>
      <c r="I121" s="53" t="s">
        <v>28</v>
      </c>
    </row>
    <row r="122" spans="1:9" x14ac:dyDescent="0.25">
      <c r="A122" s="5" t="s">
        <v>128</v>
      </c>
      <c r="B122" s="13">
        <v>9064.2726999999995</v>
      </c>
      <c r="C122" s="12">
        <v>15</v>
      </c>
      <c r="D122" s="12" t="s">
        <v>28</v>
      </c>
      <c r="E122" s="12">
        <v>18.899999999999999</v>
      </c>
      <c r="F122" s="12">
        <v>17</v>
      </c>
      <c r="G122" s="154">
        <v>39</v>
      </c>
      <c r="H122" s="17">
        <v>31.66</v>
      </c>
      <c r="I122" s="154" t="s">
        <v>28</v>
      </c>
    </row>
    <row r="123" spans="1:9" x14ac:dyDescent="0.25">
      <c r="A123" s="5" t="s">
        <v>15</v>
      </c>
      <c r="B123" s="13">
        <v>9176.3636000000006</v>
      </c>
      <c r="C123" s="12">
        <v>21</v>
      </c>
      <c r="D123" s="12">
        <v>47.616120000000002</v>
      </c>
      <c r="E123" s="12">
        <v>12.2</v>
      </c>
      <c r="F123" s="12">
        <v>13</v>
      </c>
      <c r="G123" s="154">
        <v>27</v>
      </c>
      <c r="H123" s="17">
        <v>33.979999999999997</v>
      </c>
      <c r="I123" s="154">
        <v>37.160330000000002</v>
      </c>
    </row>
    <row r="124" spans="1:9" x14ac:dyDescent="0.25">
      <c r="A124" s="5" t="s">
        <v>138</v>
      </c>
      <c r="B124" s="13">
        <v>9347.9091000000008</v>
      </c>
      <c r="C124" s="12">
        <v>37</v>
      </c>
      <c r="D124" s="12">
        <v>23.74156</v>
      </c>
      <c r="E124" s="12">
        <v>28.3</v>
      </c>
      <c r="F124" s="12">
        <v>39</v>
      </c>
      <c r="G124" s="154">
        <v>49</v>
      </c>
      <c r="H124" s="17">
        <v>31.88</v>
      </c>
      <c r="I124" s="154">
        <v>41.614469999999997</v>
      </c>
    </row>
    <row r="125" spans="1:9" x14ac:dyDescent="0.25">
      <c r="A125" s="5" t="s">
        <v>122</v>
      </c>
      <c r="B125" s="13">
        <v>9459.8181999999997</v>
      </c>
      <c r="C125" s="12">
        <v>29</v>
      </c>
      <c r="D125" s="12">
        <v>8.8988320000000005</v>
      </c>
      <c r="E125" s="12">
        <v>18.3</v>
      </c>
      <c r="F125" s="12">
        <v>17</v>
      </c>
      <c r="G125" s="154" t="s">
        <v>28</v>
      </c>
      <c r="H125" s="17">
        <v>28.84</v>
      </c>
      <c r="I125" s="154">
        <v>11.392720000000001</v>
      </c>
    </row>
    <row r="126" spans="1:9" x14ac:dyDescent="0.25">
      <c r="A126" s="5" t="s">
        <v>125</v>
      </c>
      <c r="B126" s="13">
        <v>9514.7273000000005</v>
      </c>
      <c r="C126" s="12">
        <v>23</v>
      </c>
      <c r="D126" s="12">
        <v>9.9466439999999992</v>
      </c>
      <c r="E126" s="12">
        <v>9.3000000000000007</v>
      </c>
      <c r="F126" s="12" t="s">
        <v>28</v>
      </c>
      <c r="G126" s="154">
        <v>29.8</v>
      </c>
      <c r="H126" s="17">
        <v>40.340000000000003</v>
      </c>
      <c r="I126" s="154">
        <v>77.146100000000004</v>
      </c>
    </row>
    <row r="127" spans="1:9" x14ac:dyDescent="0.25">
      <c r="A127" s="5" t="s">
        <v>137</v>
      </c>
      <c r="B127" s="13">
        <v>9838.9091000000008</v>
      </c>
      <c r="C127" s="12">
        <v>14</v>
      </c>
      <c r="D127" s="12">
        <v>7.923832</v>
      </c>
      <c r="E127" s="12">
        <v>27.8</v>
      </c>
      <c r="F127" s="12">
        <v>29</v>
      </c>
      <c r="G127" s="154">
        <v>37</v>
      </c>
      <c r="H127" s="17">
        <v>20.14</v>
      </c>
      <c r="I127" s="154">
        <v>10.49737</v>
      </c>
    </row>
    <row r="128" spans="1:9" x14ac:dyDescent="0.25">
      <c r="A128" s="5" t="s">
        <v>131</v>
      </c>
      <c r="B128" s="13">
        <v>10309</v>
      </c>
      <c r="C128" s="12">
        <v>30</v>
      </c>
      <c r="D128" s="12">
        <v>10.29391</v>
      </c>
      <c r="E128" s="12">
        <v>22.2</v>
      </c>
      <c r="F128" s="12">
        <v>8</v>
      </c>
      <c r="G128" s="154" t="s">
        <v>28</v>
      </c>
      <c r="H128" s="17">
        <v>34.36</v>
      </c>
      <c r="I128" s="154">
        <v>23.63692</v>
      </c>
    </row>
    <row r="129" spans="1:9" x14ac:dyDescent="0.25">
      <c r="A129" s="5" t="s">
        <v>126</v>
      </c>
      <c r="B129" s="13">
        <v>10339.182000000001</v>
      </c>
      <c r="C129" s="12">
        <v>23</v>
      </c>
      <c r="D129" s="12">
        <v>12.462960000000001</v>
      </c>
      <c r="E129" s="12">
        <v>17.3</v>
      </c>
      <c r="F129" s="12">
        <v>17</v>
      </c>
      <c r="G129" s="154">
        <v>20</v>
      </c>
      <c r="H129" s="17" t="s">
        <v>28</v>
      </c>
      <c r="I129" s="154" t="s">
        <v>28</v>
      </c>
    </row>
    <row r="130" spans="1:9" x14ac:dyDescent="0.25">
      <c r="A130" s="5" t="s">
        <v>234</v>
      </c>
      <c r="B130" s="13">
        <v>10400</v>
      </c>
      <c r="C130" s="12" t="s">
        <v>28</v>
      </c>
      <c r="D130" s="12">
        <v>23.12593</v>
      </c>
      <c r="E130" s="12" t="s">
        <v>28</v>
      </c>
      <c r="F130" s="12" t="s">
        <v>28</v>
      </c>
      <c r="G130" s="154" t="s">
        <v>28</v>
      </c>
      <c r="H130" s="17" t="s">
        <v>28</v>
      </c>
      <c r="I130" s="53" t="s">
        <v>28</v>
      </c>
    </row>
    <row r="131" spans="1:9" x14ac:dyDescent="0.25">
      <c r="A131" s="5" t="s">
        <v>124</v>
      </c>
      <c r="B131" s="13">
        <v>10443.272999999999</v>
      </c>
      <c r="C131" s="12">
        <v>16</v>
      </c>
      <c r="D131" s="12">
        <v>34.953589999999998</v>
      </c>
      <c r="E131" s="12">
        <v>14</v>
      </c>
      <c r="F131" s="12">
        <v>63</v>
      </c>
      <c r="G131" s="154">
        <v>23.8</v>
      </c>
      <c r="H131" s="17">
        <v>31.16</v>
      </c>
      <c r="I131" s="154">
        <v>18.86542</v>
      </c>
    </row>
    <row r="132" spans="1:9" x14ac:dyDescent="0.25">
      <c r="A132" s="5" t="s">
        <v>256</v>
      </c>
      <c r="B132" s="13">
        <v>10668.364</v>
      </c>
      <c r="C132" s="12">
        <v>30</v>
      </c>
      <c r="D132" s="12" t="s">
        <v>28</v>
      </c>
      <c r="E132" s="12">
        <v>19.2</v>
      </c>
      <c r="F132" s="12" t="s">
        <v>28</v>
      </c>
      <c r="G132" s="154" t="s">
        <v>28</v>
      </c>
      <c r="H132" s="17" t="s">
        <v>28</v>
      </c>
      <c r="I132" s="154" t="s">
        <v>28</v>
      </c>
    </row>
    <row r="133" spans="1:9" x14ac:dyDescent="0.25">
      <c r="A133" s="5" t="s">
        <v>217</v>
      </c>
      <c r="B133" s="13">
        <v>10810.182000000001</v>
      </c>
      <c r="C133" s="12" t="s">
        <v>28</v>
      </c>
      <c r="D133" s="12" t="s">
        <v>28</v>
      </c>
      <c r="E133" s="12">
        <v>17.8</v>
      </c>
      <c r="F133" s="12" t="s">
        <v>28</v>
      </c>
      <c r="G133" s="154" t="s">
        <v>28</v>
      </c>
      <c r="H133" s="17" t="s">
        <v>28</v>
      </c>
      <c r="I133" s="53" t="s">
        <v>28</v>
      </c>
    </row>
    <row r="134" spans="1:9" x14ac:dyDescent="0.25">
      <c r="A134" s="5" t="s">
        <v>133</v>
      </c>
      <c r="B134" s="13">
        <v>11227.091</v>
      </c>
      <c r="C134" s="12">
        <v>16</v>
      </c>
      <c r="D134" s="12">
        <v>5.0785289999999996</v>
      </c>
      <c r="E134" s="12">
        <v>7.9</v>
      </c>
      <c r="F134" s="12" t="s">
        <v>28</v>
      </c>
      <c r="G134" s="154">
        <v>17.850000000000001</v>
      </c>
      <c r="H134" s="17">
        <v>39</v>
      </c>
      <c r="I134" s="154">
        <v>48.705100000000002</v>
      </c>
    </row>
    <row r="135" spans="1:9" x14ac:dyDescent="0.25">
      <c r="A135" s="5" t="s">
        <v>132</v>
      </c>
      <c r="B135" s="13">
        <v>11404.272999999999</v>
      </c>
      <c r="C135" s="12">
        <v>26</v>
      </c>
      <c r="D135" s="12">
        <v>9.3290349999999993</v>
      </c>
      <c r="E135" s="12">
        <v>20.5</v>
      </c>
      <c r="F135" s="12">
        <v>12</v>
      </c>
      <c r="G135" s="154">
        <v>16.45</v>
      </c>
      <c r="H135" s="17">
        <v>28.04</v>
      </c>
      <c r="I135" s="154">
        <v>12.94417</v>
      </c>
    </row>
    <row r="136" spans="1:9" x14ac:dyDescent="0.25">
      <c r="A136" s="5" t="s">
        <v>216</v>
      </c>
      <c r="B136" s="13">
        <v>11686.364</v>
      </c>
      <c r="C136" s="12" t="s">
        <v>28</v>
      </c>
      <c r="D136" s="12" t="s">
        <v>28</v>
      </c>
      <c r="E136" s="12">
        <v>11.3</v>
      </c>
      <c r="F136" s="12" t="s">
        <v>28</v>
      </c>
      <c r="G136" s="154" t="s">
        <v>28</v>
      </c>
      <c r="H136" s="17" t="s">
        <v>28</v>
      </c>
      <c r="I136" s="53" t="s">
        <v>28</v>
      </c>
    </row>
    <row r="137" spans="1:9" x14ac:dyDescent="0.25">
      <c r="A137" s="5" t="s">
        <v>142</v>
      </c>
      <c r="B137" s="13">
        <v>12394.272999999999</v>
      </c>
      <c r="C137" s="12">
        <v>34</v>
      </c>
      <c r="D137" s="12">
        <v>17.470960000000002</v>
      </c>
      <c r="E137" s="12">
        <v>24.3</v>
      </c>
      <c r="F137" s="12">
        <v>29</v>
      </c>
      <c r="G137" s="154" t="s">
        <v>28</v>
      </c>
      <c r="H137" s="17">
        <v>27.44</v>
      </c>
      <c r="I137" s="154">
        <v>10.18844</v>
      </c>
    </row>
    <row r="138" spans="1:9" x14ac:dyDescent="0.25">
      <c r="A138" s="5" t="s">
        <v>129</v>
      </c>
      <c r="B138" s="13">
        <v>12733.091</v>
      </c>
      <c r="C138" s="12">
        <v>19</v>
      </c>
      <c r="D138" s="12">
        <v>8.9226050000000008</v>
      </c>
      <c r="E138" s="12">
        <v>12.5</v>
      </c>
      <c r="F138" s="12">
        <v>5</v>
      </c>
      <c r="G138" s="154">
        <v>10</v>
      </c>
      <c r="H138" s="17">
        <v>19.14</v>
      </c>
      <c r="I138" s="154">
        <v>12.711270000000001</v>
      </c>
    </row>
    <row r="139" spans="1:9" x14ac:dyDescent="0.25">
      <c r="A139" s="5" t="s">
        <v>143</v>
      </c>
      <c r="B139" s="13">
        <v>12996.222</v>
      </c>
      <c r="C139" s="12" t="s">
        <v>28</v>
      </c>
      <c r="D139" s="12">
        <v>27.649819999999998</v>
      </c>
      <c r="E139" s="12">
        <v>11.4</v>
      </c>
      <c r="F139" s="12">
        <v>4</v>
      </c>
      <c r="G139" s="154" t="s">
        <v>28</v>
      </c>
      <c r="H139" s="17">
        <v>19.18</v>
      </c>
      <c r="I139" s="154" t="s">
        <v>28</v>
      </c>
    </row>
    <row r="140" spans="1:9" x14ac:dyDescent="0.25">
      <c r="A140" s="5" t="s">
        <v>144</v>
      </c>
      <c r="B140" s="13">
        <v>13930</v>
      </c>
      <c r="C140" s="12" t="s">
        <v>28</v>
      </c>
      <c r="D140" s="12" t="s">
        <v>28</v>
      </c>
      <c r="E140" s="12" t="s">
        <v>28</v>
      </c>
      <c r="F140" s="12" t="s">
        <v>28</v>
      </c>
      <c r="G140" s="154" t="s">
        <v>28</v>
      </c>
      <c r="H140" s="17">
        <v>18.98</v>
      </c>
      <c r="I140" s="154" t="s">
        <v>28</v>
      </c>
    </row>
    <row r="141" spans="1:9" x14ac:dyDescent="0.25">
      <c r="A141" s="5" t="s">
        <v>135</v>
      </c>
      <c r="B141" s="13">
        <v>14206.727000000001</v>
      </c>
      <c r="C141" s="12">
        <v>28</v>
      </c>
      <c r="D141" s="12">
        <v>11.67047</v>
      </c>
      <c r="E141" s="12">
        <v>13.2</v>
      </c>
      <c r="F141" s="12">
        <v>12</v>
      </c>
      <c r="G141" s="154">
        <v>29.85</v>
      </c>
      <c r="H141" s="17">
        <v>25.32</v>
      </c>
      <c r="I141" s="154">
        <v>21.61289</v>
      </c>
    </row>
    <row r="142" spans="1:9" x14ac:dyDescent="0.25">
      <c r="A142" s="5" t="s">
        <v>218</v>
      </c>
      <c r="B142" s="13">
        <v>15000</v>
      </c>
      <c r="C142" s="12" t="s">
        <v>28</v>
      </c>
      <c r="D142" s="12" t="s">
        <v>28</v>
      </c>
      <c r="E142" s="12">
        <v>15.9</v>
      </c>
      <c r="F142" s="12" t="s">
        <v>28</v>
      </c>
      <c r="G142" s="154" t="s">
        <v>28</v>
      </c>
      <c r="H142" s="17" t="s">
        <v>28</v>
      </c>
      <c r="I142" s="154" t="s">
        <v>28</v>
      </c>
    </row>
    <row r="143" spans="1:9" x14ac:dyDescent="0.25">
      <c r="A143" s="5" t="s">
        <v>215</v>
      </c>
      <c r="B143" s="13">
        <v>15879.091</v>
      </c>
      <c r="C143" s="12" t="s">
        <v>28</v>
      </c>
      <c r="D143" s="12" t="s">
        <v>28</v>
      </c>
      <c r="E143" s="12">
        <v>11.1</v>
      </c>
      <c r="F143" s="12" t="s">
        <v>28</v>
      </c>
      <c r="G143" s="154" t="s">
        <v>28</v>
      </c>
      <c r="H143" s="17" t="s">
        <v>28</v>
      </c>
      <c r="I143" s="154" t="s">
        <v>28</v>
      </c>
    </row>
    <row r="144" spans="1:9" x14ac:dyDescent="0.25">
      <c r="A144" s="5" t="s">
        <v>219</v>
      </c>
      <c r="B144" s="13">
        <v>15938.143</v>
      </c>
      <c r="C144" s="12" t="s">
        <v>28</v>
      </c>
      <c r="D144" s="12" t="s">
        <v>28</v>
      </c>
      <c r="E144" s="12">
        <v>14.8</v>
      </c>
      <c r="F144" s="12" t="s">
        <v>28</v>
      </c>
      <c r="G144" s="154" t="s">
        <v>28</v>
      </c>
      <c r="H144" s="17" t="s">
        <v>28</v>
      </c>
      <c r="I144" s="154" t="s">
        <v>28</v>
      </c>
    </row>
    <row r="145" spans="1:9" x14ac:dyDescent="0.25">
      <c r="A145" s="5" t="s">
        <v>227</v>
      </c>
      <c r="B145" s="13">
        <v>16000</v>
      </c>
      <c r="C145" s="12" t="s">
        <v>28</v>
      </c>
      <c r="D145" s="12" t="s">
        <v>28</v>
      </c>
      <c r="E145" s="12">
        <v>9</v>
      </c>
      <c r="F145" s="12" t="s">
        <v>28</v>
      </c>
      <c r="G145" s="154" t="s">
        <v>28</v>
      </c>
      <c r="H145" s="17" t="s">
        <v>28</v>
      </c>
      <c r="I145" s="154" t="s">
        <v>28</v>
      </c>
    </row>
    <row r="146" spans="1:9" x14ac:dyDescent="0.25">
      <c r="A146" s="5" t="s">
        <v>230</v>
      </c>
      <c r="B146" s="13">
        <v>16572.7</v>
      </c>
      <c r="C146" s="12">
        <v>18</v>
      </c>
      <c r="D146" s="12" t="s">
        <v>28</v>
      </c>
      <c r="E146" s="12" t="s">
        <v>28</v>
      </c>
      <c r="F146" s="12">
        <v>5</v>
      </c>
      <c r="G146" s="154" t="s">
        <v>28</v>
      </c>
      <c r="H146" s="17" t="s">
        <v>28</v>
      </c>
      <c r="I146" s="154" t="s">
        <v>28</v>
      </c>
    </row>
    <row r="147" spans="1:9" x14ac:dyDescent="0.25">
      <c r="A147" s="5" t="s">
        <v>139</v>
      </c>
      <c r="B147" s="13">
        <v>16919.091</v>
      </c>
      <c r="C147" s="12">
        <v>18</v>
      </c>
      <c r="D147" s="12">
        <v>11.42811</v>
      </c>
      <c r="E147" s="12">
        <v>15.7</v>
      </c>
      <c r="F147" s="12">
        <v>13</v>
      </c>
      <c r="G147" s="154">
        <v>12.35</v>
      </c>
      <c r="H147" s="17">
        <v>19.260000000000002</v>
      </c>
      <c r="I147" s="154">
        <v>24.933710000000001</v>
      </c>
    </row>
    <row r="148" spans="1:9" x14ac:dyDescent="0.25">
      <c r="A148" s="5" t="s">
        <v>178</v>
      </c>
      <c r="B148" s="13">
        <v>17077</v>
      </c>
      <c r="C148" s="12">
        <v>23</v>
      </c>
      <c r="D148" s="12" t="s">
        <v>28</v>
      </c>
      <c r="E148" s="12">
        <v>13.7</v>
      </c>
      <c r="F148" s="12" t="s">
        <v>28</v>
      </c>
      <c r="G148" s="154" t="s">
        <v>28</v>
      </c>
      <c r="H148" s="17" t="s">
        <v>28</v>
      </c>
      <c r="I148" s="154">
        <v>85.626829999999998</v>
      </c>
    </row>
    <row r="149" spans="1:9" x14ac:dyDescent="0.25">
      <c r="A149" s="5" t="s">
        <v>148</v>
      </c>
      <c r="B149" s="13">
        <v>17571.182000000001</v>
      </c>
      <c r="C149" s="12">
        <v>29</v>
      </c>
      <c r="D149" s="12">
        <v>10.211539999999999</v>
      </c>
      <c r="E149" s="12">
        <v>27</v>
      </c>
      <c r="F149" s="12">
        <v>30</v>
      </c>
      <c r="G149" s="154">
        <v>38</v>
      </c>
      <c r="H149" s="17">
        <v>28.04</v>
      </c>
      <c r="I149" s="154" t="s">
        <v>28</v>
      </c>
    </row>
    <row r="150" spans="1:9" x14ac:dyDescent="0.25">
      <c r="A150" t="s">
        <v>145</v>
      </c>
      <c r="B150" s="35">
        <v>17985.817999999999</v>
      </c>
      <c r="C150" s="154">
        <v>16</v>
      </c>
      <c r="D150" s="154">
        <v>10.834300000000001</v>
      </c>
      <c r="E150" s="11">
        <v>10</v>
      </c>
      <c r="F150" s="11">
        <v>9</v>
      </c>
      <c r="G150" s="154" t="s">
        <v>28</v>
      </c>
      <c r="H150" s="17">
        <v>28.06</v>
      </c>
      <c r="I150" s="154">
        <v>17.903279999999999</v>
      </c>
    </row>
    <row r="151" spans="1:9" x14ac:dyDescent="0.25">
      <c r="A151" t="s">
        <v>147</v>
      </c>
      <c r="B151" s="35">
        <v>18710.635999999999</v>
      </c>
      <c r="C151" s="154">
        <v>28</v>
      </c>
      <c r="D151" s="154">
        <v>11.224220000000001</v>
      </c>
      <c r="E151" s="11">
        <v>30.1</v>
      </c>
      <c r="F151" s="11">
        <v>31</v>
      </c>
      <c r="G151" s="154">
        <v>21.2</v>
      </c>
      <c r="H151" s="17">
        <v>27.82</v>
      </c>
      <c r="I151" s="154">
        <v>2.883105</v>
      </c>
    </row>
    <row r="152" spans="1:9" x14ac:dyDescent="0.25">
      <c r="A152" t="s">
        <v>146</v>
      </c>
      <c r="B152" s="35">
        <v>18868.817999999999</v>
      </c>
      <c r="C152" s="154">
        <v>19</v>
      </c>
      <c r="D152" s="154">
        <v>8.3422820000000009</v>
      </c>
      <c r="E152" s="11">
        <v>23.5</v>
      </c>
      <c r="F152" s="11">
        <v>19</v>
      </c>
      <c r="G152" s="154">
        <v>16.8</v>
      </c>
      <c r="H152" s="17">
        <v>21.72</v>
      </c>
      <c r="I152" s="154">
        <v>24.77176</v>
      </c>
    </row>
    <row r="153" spans="1:9" x14ac:dyDescent="0.25">
      <c r="A153" t="s">
        <v>149</v>
      </c>
      <c r="B153" s="35">
        <v>19008.332999999999</v>
      </c>
      <c r="C153" s="154">
        <v>19</v>
      </c>
      <c r="D153" s="154" t="s">
        <v>28</v>
      </c>
      <c r="E153" s="11">
        <v>20.5</v>
      </c>
      <c r="F153" s="11" t="s">
        <v>28</v>
      </c>
      <c r="G153" s="154">
        <v>21</v>
      </c>
      <c r="H153" s="17" t="s">
        <v>28</v>
      </c>
      <c r="I153" s="154">
        <v>166.19110000000001</v>
      </c>
    </row>
    <row r="154" spans="1:9" x14ac:dyDescent="0.25">
      <c r="A154" s="5" t="s">
        <v>224</v>
      </c>
      <c r="B154" s="13">
        <v>19300</v>
      </c>
      <c r="C154" s="161">
        <v>23</v>
      </c>
      <c r="D154" s="161" t="s">
        <v>28</v>
      </c>
      <c r="E154" s="12">
        <v>15.2</v>
      </c>
      <c r="F154" s="12" t="s">
        <v>28</v>
      </c>
      <c r="G154" s="154" t="s">
        <v>28</v>
      </c>
      <c r="H154" s="17" t="s">
        <v>28</v>
      </c>
      <c r="I154" s="154" t="s">
        <v>28</v>
      </c>
    </row>
    <row r="155" spans="1:9" x14ac:dyDescent="0.25">
      <c r="A155" s="5" t="s">
        <v>152</v>
      </c>
      <c r="B155" s="13">
        <v>19557.224999999999</v>
      </c>
      <c r="C155" s="161" t="s">
        <v>28</v>
      </c>
      <c r="D155" s="161" t="s">
        <v>28</v>
      </c>
      <c r="E155" s="12">
        <v>14.1</v>
      </c>
      <c r="F155" s="12" t="s">
        <v>28</v>
      </c>
      <c r="G155" s="161" t="s">
        <v>28</v>
      </c>
      <c r="H155" s="6">
        <v>29.26</v>
      </c>
      <c r="I155" s="154" t="s">
        <v>28</v>
      </c>
    </row>
    <row r="156" spans="1:9" x14ac:dyDescent="0.25">
      <c r="A156" s="5" t="s">
        <v>154</v>
      </c>
      <c r="B156" s="13">
        <v>21058.3</v>
      </c>
      <c r="C156" s="161">
        <v>18</v>
      </c>
      <c r="D156" s="161" t="s">
        <v>28</v>
      </c>
      <c r="E156" s="12" t="s">
        <v>28</v>
      </c>
      <c r="F156" s="12">
        <v>6</v>
      </c>
      <c r="G156" s="161" t="s">
        <v>28</v>
      </c>
      <c r="H156" s="6">
        <v>20.86</v>
      </c>
      <c r="I156" s="154" t="s">
        <v>28</v>
      </c>
    </row>
    <row r="157" spans="1:9" x14ac:dyDescent="0.25">
      <c r="A157" s="5" t="s">
        <v>221</v>
      </c>
      <c r="B157" s="13">
        <v>21800</v>
      </c>
      <c r="C157" s="161" t="s">
        <v>28</v>
      </c>
      <c r="D157" s="161" t="s">
        <v>28</v>
      </c>
      <c r="E157" s="12">
        <v>2.6</v>
      </c>
      <c r="F157" s="12" t="s">
        <v>28</v>
      </c>
      <c r="G157" s="161" t="s">
        <v>28</v>
      </c>
      <c r="H157" s="6" t="s">
        <v>28</v>
      </c>
      <c r="I157" s="154" t="s">
        <v>28</v>
      </c>
    </row>
    <row r="158" spans="1:9" x14ac:dyDescent="0.25">
      <c r="A158" s="5" t="s">
        <v>150</v>
      </c>
      <c r="B158" s="13">
        <v>21819.364000000001</v>
      </c>
      <c r="C158" s="161">
        <v>13</v>
      </c>
      <c r="D158" s="161" t="s">
        <v>28</v>
      </c>
      <c r="E158" s="12">
        <v>17.899999999999999</v>
      </c>
      <c r="F158" s="12">
        <v>16</v>
      </c>
      <c r="G158" s="161" t="s">
        <v>28</v>
      </c>
      <c r="H158" s="6">
        <v>12.04</v>
      </c>
      <c r="I158" s="154">
        <v>81.209209999999999</v>
      </c>
    </row>
    <row r="159" spans="1:9" x14ac:dyDescent="0.25">
      <c r="A159" s="5" t="s">
        <v>159</v>
      </c>
      <c r="B159" s="13">
        <v>22418.2</v>
      </c>
      <c r="C159" s="161">
        <v>14</v>
      </c>
      <c r="D159" s="161" t="s">
        <v>28</v>
      </c>
      <c r="E159" s="12" t="s">
        <v>28</v>
      </c>
      <c r="F159" s="12">
        <v>8</v>
      </c>
      <c r="G159" s="161" t="s">
        <v>28</v>
      </c>
      <c r="H159" s="6">
        <v>27</v>
      </c>
      <c r="I159" s="154" t="s">
        <v>28</v>
      </c>
    </row>
    <row r="160" spans="1:9" x14ac:dyDescent="0.25">
      <c r="A160" s="5" t="s">
        <v>153</v>
      </c>
      <c r="B160" s="13">
        <v>22541.5</v>
      </c>
      <c r="C160" s="161">
        <v>16</v>
      </c>
      <c r="D160" s="161" t="s">
        <v>28</v>
      </c>
      <c r="E160" s="12">
        <v>12.8</v>
      </c>
      <c r="F160" s="12" t="s">
        <v>28</v>
      </c>
      <c r="G160" s="161">
        <v>29</v>
      </c>
      <c r="H160" s="6">
        <v>22.88</v>
      </c>
      <c r="I160" s="154">
        <v>53.45232</v>
      </c>
    </row>
    <row r="161" spans="1:9" x14ac:dyDescent="0.25">
      <c r="A161" s="5" t="s">
        <v>151</v>
      </c>
      <c r="B161" s="13">
        <v>22793.817999999999</v>
      </c>
      <c r="C161" s="161">
        <v>22</v>
      </c>
      <c r="D161" s="161">
        <v>3.5142310000000001</v>
      </c>
      <c r="E161" s="12">
        <v>16.5</v>
      </c>
      <c r="F161" s="12">
        <v>19</v>
      </c>
      <c r="G161" s="161">
        <v>23.9</v>
      </c>
      <c r="H161" s="6">
        <v>21.78</v>
      </c>
      <c r="I161" s="154">
        <v>47.506019999999999</v>
      </c>
    </row>
    <row r="162" spans="1:9" x14ac:dyDescent="0.25">
      <c r="A162" s="5" t="s">
        <v>160</v>
      </c>
      <c r="B162" s="13">
        <v>24277.817999999999</v>
      </c>
      <c r="C162" s="161">
        <v>9</v>
      </c>
      <c r="D162" s="161" t="s">
        <v>28</v>
      </c>
      <c r="E162" s="12">
        <v>13.3</v>
      </c>
      <c r="F162" s="12">
        <v>13</v>
      </c>
      <c r="G162" s="161">
        <v>13</v>
      </c>
      <c r="H162" s="6">
        <v>13.06</v>
      </c>
      <c r="I162" s="154">
        <v>22.401499999999999</v>
      </c>
    </row>
    <row r="163" spans="1:9" x14ac:dyDescent="0.25">
      <c r="A163" s="5" t="s">
        <v>220</v>
      </c>
      <c r="B163" s="13">
        <v>25016.544999999998</v>
      </c>
      <c r="C163" s="161" t="s">
        <v>28</v>
      </c>
      <c r="D163" s="161" t="s">
        <v>28</v>
      </c>
      <c r="E163" s="12">
        <v>9.3000000000000007</v>
      </c>
      <c r="F163" s="12" t="s">
        <v>28</v>
      </c>
      <c r="G163" s="161" t="s">
        <v>28</v>
      </c>
      <c r="H163" s="6" t="s">
        <v>28</v>
      </c>
      <c r="I163" s="154" t="s">
        <v>28</v>
      </c>
    </row>
    <row r="164" spans="1:9" x14ac:dyDescent="0.25">
      <c r="A164" s="5" t="s">
        <v>155</v>
      </c>
      <c r="B164" s="13">
        <v>26383.091</v>
      </c>
      <c r="C164" s="161">
        <v>31</v>
      </c>
      <c r="D164" s="161" t="s">
        <v>28</v>
      </c>
      <c r="E164" s="12">
        <v>17.2</v>
      </c>
      <c r="F164" s="12">
        <v>26</v>
      </c>
      <c r="G164" s="161" t="s">
        <v>28</v>
      </c>
      <c r="H164" s="6">
        <v>25.56</v>
      </c>
      <c r="I164" s="154">
        <v>28.30902</v>
      </c>
    </row>
    <row r="165" spans="1:9" x14ac:dyDescent="0.25">
      <c r="A165" s="5" t="s">
        <v>161</v>
      </c>
      <c r="B165" s="13">
        <v>26461.273000000001</v>
      </c>
      <c r="C165" s="161">
        <v>17</v>
      </c>
      <c r="D165" s="161">
        <v>5.7966420000000003</v>
      </c>
      <c r="E165" s="12">
        <v>11.2</v>
      </c>
      <c r="F165" s="12">
        <v>10</v>
      </c>
      <c r="G165" s="161">
        <v>15.2</v>
      </c>
      <c r="H165" s="6">
        <v>16.100000000000001</v>
      </c>
      <c r="I165" s="154">
        <v>5.636863</v>
      </c>
    </row>
    <row r="166" spans="1:9" x14ac:dyDescent="0.25">
      <c r="A166" s="5" t="s">
        <v>174</v>
      </c>
      <c r="B166" s="13">
        <v>26849.091</v>
      </c>
      <c r="C166" s="161">
        <v>15</v>
      </c>
      <c r="D166" s="161" t="s">
        <v>28</v>
      </c>
      <c r="E166" s="12">
        <v>10.199999999999999</v>
      </c>
      <c r="F166" s="12">
        <v>14</v>
      </c>
      <c r="G166" s="161">
        <v>13.7</v>
      </c>
      <c r="H166" s="6">
        <v>10.26</v>
      </c>
      <c r="I166" s="154">
        <v>20.020289999999999</v>
      </c>
    </row>
    <row r="167" spans="1:9" x14ac:dyDescent="0.25">
      <c r="A167" s="5" t="s">
        <v>163</v>
      </c>
      <c r="B167" s="13">
        <v>27220.273000000001</v>
      </c>
      <c r="C167" s="161">
        <v>11</v>
      </c>
      <c r="D167" s="161" t="s">
        <v>28</v>
      </c>
      <c r="E167" s="12">
        <v>12</v>
      </c>
      <c r="F167" s="12">
        <v>9</v>
      </c>
      <c r="G167" s="161">
        <v>13.3</v>
      </c>
      <c r="H167" s="6">
        <v>17.14</v>
      </c>
      <c r="I167" s="154">
        <v>21.619230000000002</v>
      </c>
    </row>
    <row r="168" spans="1:9" x14ac:dyDescent="0.25">
      <c r="A168" s="5" t="s">
        <v>169</v>
      </c>
      <c r="B168" s="13">
        <v>27586.909</v>
      </c>
      <c r="C168" s="161">
        <v>20</v>
      </c>
      <c r="D168" s="161" t="s">
        <v>28</v>
      </c>
      <c r="E168" s="12">
        <v>9.6</v>
      </c>
      <c r="F168" s="12">
        <v>9</v>
      </c>
      <c r="G168" s="161" t="s">
        <v>28</v>
      </c>
      <c r="H168" s="6">
        <v>18.02</v>
      </c>
      <c r="I168" s="154">
        <v>32.692630000000001</v>
      </c>
    </row>
    <row r="169" spans="1:9" x14ac:dyDescent="0.25">
      <c r="A169" s="5" t="s">
        <v>168</v>
      </c>
      <c r="B169" s="13">
        <v>27852</v>
      </c>
      <c r="C169" s="161">
        <v>13</v>
      </c>
      <c r="D169" s="161" t="s">
        <v>28</v>
      </c>
      <c r="E169" s="12">
        <v>11.5</v>
      </c>
      <c r="F169" s="12">
        <v>10</v>
      </c>
      <c r="G169" s="161">
        <v>13</v>
      </c>
      <c r="H169" s="6">
        <v>16.579999999999998</v>
      </c>
      <c r="I169" s="154">
        <v>77.410520000000005</v>
      </c>
    </row>
    <row r="170" spans="1:9" x14ac:dyDescent="0.25">
      <c r="A170" s="5" t="s">
        <v>157</v>
      </c>
      <c r="B170" s="13">
        <v>27903.635999999999</v>
      </c>
      <c r="C170" s="161">
        <v>14</v>
      </c>
      <c r="D170" s="161" t="s">
        <v>28</v>
      </c>
      <c r="E170" s="12">
        <v>9.9</v>
      </c>
      <c r="F170" s="12">
        <v>11</v>
      </c>
      <c r="G170" s="161" t="s">
        <v>28</v>
      </c>
      <c r="H170" s="6">
        <v>14.34</v>
      </c>
      <c r="I170" s="154">
        <v>19.257840000000002</v>
      </c>
    </row>
    <row r="171" spans="1:9" x14ac:dyDescent="0.25">
      <c r="A171" s="5" t="s">
        <v>166</v>
      </c>
      <c r="B171" s="13">
        <v>28055.091</v>
      </c>
      <c r="C171" s="161">
        <v>17</v>
      </c>
      <c r="D171" s="161" t="s">
        <v>28</v>
      </c>
      <c r="E171" s="12">
        <v>12.7</v>
      </c>
      <c r="F171" s="12">
        <v>13</v>
      </c>
      <c r="G171" s="161">
        <v>13.6</v>
      </c>
      <c r="H171" s="6">
        <v>11.88</v>
      </c>
      <c r="I171" s="154">
        <v>31.952680000000001</v>
      </c>
    </row>
    <row r="172" spans="1:9" x14ac:dyDescent="0.25">
      <c r="A172" s="5" t="s">
        <v>162</v>
      </c>
      <c r="B172" s="13">
        <v>28321.544999999998</v>
      </c>
      <c r="C172" s="161">
        <v>18</v>
      </c>
      <c r="D172" s="161" t="s">
        <v>28</v>
      </c>
      <c r="E172" s="12">
        <v>15.4</v>
      </c>
      <c r="F172" s="12">
        <v>8</v>
      </c>
      <c r="G172" s="161" t="s">
        <v>28</v>
      </c>
      <c r="H172" s="6">
        <v>15.18</v>
      </c>
      <c r="I172" s="154">
        <v>43.574219999999997</v>
      </c>
    </row>
    <row r="173" spans="1:9" x14ac:dyDescent="0.25">
      <c r="A173" s="5" t="s">
        <v>158</v>
      </c>
      <c r="B173" s="13">
        <v>28480.909</v>
      </c>
      <c r="C173" s="161">
        <v>23</v>
      </c>
      <c r="D173" s="161" t="s">
        <v>28</v>
      </c>
      <c r="E173" s="12">
        <v>13.5</v>
      </c>
      <c r="F173" s="12">
        <v>14</v>
      </c>
      <c r="G173" s="161">
        <v>22</v>
      </c>
      <c r="H173" s="6">
        <v>21.04</v>
      </c>
      <c r="I173" s="154">
        <v>31.226870000000002</v>
      </c>
    </row>
    <row r="174" spans="1:9" x14ac:dyDescent="0.25">
      <c r="A174" s="5" t="s">
        <v>156</v>
      </c>
      <c r="B174" s="13">
        <v>28965.182000000001</v>
      </c>
      <c r="C174" s="161">
        <v>14</v>
      </c>
      <c r="D174" s="161" t="s">
        <v>28</v>
      </c>
      <c r="E174" s="12">
        <v>12.7</v>
      </c>
      <c r="F174" s="12">
        <v>9</v>
      </c>
      <c r="G174" s="161">
        <v>15.3</v>
      </c>
      <c r="H174" s="6">
        <v>13.56</v>
      </c>
      <c r="I174" s="154">
        <v>43.87865</v>
      </c>
    </row>
    <row r="175" spans="1:9" x14ac:dyDescent="0.25">
      <c r="A175" s="5" t="s">
        <v>165</v>
      </c>
      <c r="B175" s="13">
        <v>29205.726999999999</v>
      </c>
      <c r="C175" s="161">
        <v>15</v>
      </c>
      <c r="D175" s="161" t="s">
        <v>28</v>
      </c>
      <c r="E175" s="12">
        <v>11.8</v>
      </c>
      <c r="F175" s="12">
        <v>8</v>
      </c>
      <c r="G175" s="161">
        <v>15</v>
      </c>
      <c r="H175" s="6">
        <v>10.14</v>
      </c>
      <c r="I175" s="154">
        <v>20.217949999999998</v>
      </c>
    </row>
    <row r="176" spans="1:9" x14ac:dyDescent="0.25">
      <c r="A176" s="5" t="s">
        <v>171</v>
      </c>
      <c r="B176" s="13">
        <v>29770.273000000001</v>
      </c>
      <c r="C176" s="161">
        <v>16</v>
      </c>
      <c r="D176" s="161" t="s">
        <v>28</v>
      </c>
      <c r="E176" s="12">
        <v>7.8</v>
      </c>
      <c r="F176" s="12">
        <v>7</v>
      </c>
      <c r="G176" s="161">
        <v>17.8</v>
      </c>
      <c r="H176" s="6">
        <v>17.2</v>
      </c>
      <c r="I176" s="154">
        <v>39.046779999999998</v>
      </c>
    </row>
    <row r="177" spans="1:9" x14ac:dyDescent="0.25">
      <c r="A177" s="5" t="s">
        <v>170</v>
      </c>
      <c r="B177" s="13">
        <v>30100</v>
      </c>
      <c r="C177" s="161">
        <v>21</v>
      </c>
      <c r="D177" s="161" t="s">
        <v>28</v>
      </c>
      <c r="E177" s="12">
        <v>21</v>
      </c>
      <c r="F177" s="12" t="s">
        <v>28</v>
      </c>
      <c r="G177" s="161" t="s">
        <v>28</v>
      </c>
      <c r="H177" s="6">
        <v>26.6</v>
      </c>
      <c r="I177" s="154" t="s">
        <v>28</v>
      </c>
    </row>
    <row r="178" spans="1:9" x14ac:dyDescent="0.25">
      <c r="A178" s="5" t="s">
        <v>179</v>
      </c>
      <c r="B178" s="13">
        <v>30288.091</v>
      </c>
      <c r="C178" s="161">
        <v>11</v>
      </c>
      <c r="D178" s="161" t="s">
        <v>28</v>
      </c>
      <c r="E178" s="12">
        <v>13.9</v>
      </c>
      <c r="F178" s="12" t="s">
        <v>28</v>
      </c>
      <c r="G178" s="161" t="s">
        <v>28</v>
      </c>
      <c r="H178" s="6" t="s">
        <v>28</v>
      </c>
      <c r="I178" s="154">
        <v>73.613810000000001</v>
      </c>
    </row>
    <row r="179" spans="1:9" x14ac:dyDescent="0.25">
      <c r="A179" s="5" t="s">
        <v>164</v>
      </c>
      <c r="B179" s="13">
        <v>30372.909</v>
      </c>
      <c r="C179" s="161">
        <v>14</v>
      </c>
      <c r="D179" s="161" t="s">
        <v>28</v>
      </c>
      <c r="E179" s="12">
        <v>11.3</v>
      </c>
      <c r="F179" s="12">
        <v>9</v>
      </c>
      <c r="G179" s="161">
        <v>13.5</v>
      </c>
      <c r="H179" s="6">
        <v>12.36</v>
      </c>
      <c r="I179" s="154">
        <v>60.20026</v>
      </c>
    </row>
    <row r="180" spans="1:9" x14ac:dyDescent="0.25">
      <c r="A180" s="5" t="s">
        <v>167</v>
      </c>
      <c r="B180" s="13">
        <v>30675.091</v>
      </c>
      <c r="C180" s="161">
        <v>15</v>
      </c>
      <c r="D180" s="161">
        <v>3.9310350000000001</v>
      </c>
      <c r="E180" s="12">
        <v>16.600000000000001</v>
      </c>
      <c r="F180" s="12">
        <v>18</v>
      </c>
      <c r="G180" s="161">
        <v>20.7</v>
      </c>
      <c r="H180" s="6">
        <v>15.16</v>
      </c>
      <c r="I180" s="154">
        <v>38.424469999999999</v>
      </c>
    </row>
    <row r="181" spans="1:9" x14ac:dyDescent="0.25">
      <c r="A181" s="5" t="s">
        <v>172</v>
      </c>
      <c r="B181" s="13">
        <v>32033</v>
      </c>
      <c r="C181" s="161">
        <v>11</v>
      </c>
      <c r="D181" s="161" t="s">
        <v>28</v>
      </c>
      <c r="E181" s="12">
        <v>14</v>
      </c>
      <c r="F181" s="12" t="s">
        <v>28</v>
      </c>
      <c r="G181" s="161">
        <v>10.199999999999999</v>
      </c>
      <c r="H181" s="6">
        <v>8.98</v>
      </c>
      <c r="I181" s="154">
        <v>18.124739999999999</v>
      </c>
    </row>
    <row r="182" spans="1:9" x14ac:dyDescent="0.25">
      <c r="A182" s="5" t="s">
        <v>225</v>
      </c>
      <c r="B182" s="13">
        <v>34100</v>
      </c>
      <c r="C182" s="161" t="s">
        <v>28</v>
      </c>
      <c r="D182" s="161" t="s">
        <v>28</v>
      </c>
      <c r="E182" s="12">
        <v>11.1</v>
      </c>
      <c r="F182" s="12" t="s">
        <v>28</v>
      </c>
      <c r="G182" s="161" t="s">
        <v>28</v>
      </c>
      <c r="H182" s="6" t="s">
        <v>28</v>
      </c>
      <c r="I182" s="154" t="s">
        <v>28</v>
      </c>
    </row>
    <row r="183" spans="1:9" x14ac:dyDescent="0.25">
      <c r="A183" s="5" t="s">
        <v>222</v>
      </c>
      <c r="B183" s="13">
        <v>35000</v>
      </c>
      <c r="C183" s="161" t="s">
        <v>28</v>
      </c>
      <c r="D183" s="161" t="s">
        <v>28</v>
      </c>
      <c r="E183" s="12">
        <v>14.6</v>
      </c>
      <c r="F183" s="12" t="s">
        <v>28</v>
      </c>
      <c r="G183" s="161" t="s">
        <v>28</v>
      </c>
      <c r="H183" s="6" t="s">
        <v>28</v>
      </c>
      <c r="I183" s="154" t="s">
        <v>28</v>
      </c>
    </row>
    <row r="184" spans="1:9" x14ac:dyDescent="0.25">
      <c r="A184" s="5" t="s">
        <v>175</v>
      </c>
      <c r="B184" s="13">
        <v>35727.817999999999</v>
      </c>
      <c r="C184" s="161">
        <v>13</v>
      </c>
      <c r="D184" s="161" t="s">
        <v>28</v>
      </c>
      <c r="E184" s="12">
        <v>7.1</v>
      </c>
      <c r="F184" s="12">
        <v>9</v>
      </c>
      <c r="G184" s="161" t="s">
        <v>28</v>
      </c>
      <c r="H184" s="6">
        <v>18.18</v>
      </c>
      <c r="I184" s="154">
        <v>62.616520000000001</v>
      </c>
    </row>
    <row r="185" spans="1:9" x14ac:dyDescent="0.25">
      <c r="A185" s="5" t="s">
        <v>173</v>
      </c>
      <c r="B185" s="13">
        <v>35729.455000000002</v>
      </c>
      <c r="C185" s="161">
        <v>18</v>
      </c>
      <c r="D185" s="161" t="s">
        <v>28</v>
      </c>
      <c r="E185" s="12">
        <v>7.4</v>
      </c>
      <c r="F185" s="12">
        <v>7</v>
      </c>
      <c r="G185" s="161">
        <v>10.5</v>
      </c>
      <c r="H185" s="6">
        <v>8.3800000000000008</v>
      </c>
      <c r="I185" s="154">
        <v>17.182490000000001</v>
      </c>
    </row>
    <row r="186" spans="1:9" x14ac:dyDescent="0.25">
      <c r="A186" s="5" t="s">
        <v>180</v>
      </c>
      <c r="B186" s="13">
        <v>52335.091</v>
      </c>
      <c r="C186" s="161">
        <v>13</v>
      </c>
      <c r="D186" s="161" t="s">
        <v>28</v>
      </c>
      <c r="E186" s="12">
        <v>6.8</v>
      </c>
      <c r="F186" s="12" t="s">
        <v>28</v>
      </c>
      <c r="G186" s="161" t="s">
        <v>28</v>
      </c>
      <c r="H186" s="6" t="s">
        <v>28</v>
      </c>
      <c r="I186" s="154">
        <v>43.529899999999998</v>
      </c>
    </row>
    <row r="187" spans="1:9" x14ac:dyDescent="0.25">
      <c r="A187" s="5" t="s">
        <v>223</v>
      </c>
      <c r="B187" s="13">
        <v>80900</v>
      </c>
      <c r="C187" s="161">
        <v>14</v>
      </c>
      <c r="D187" s="161" t="s">
        <v>28</v>
      </c>
      <c r="E187" s="12">
        <v>1.1000000000000001</v>
      </c>
      <c r="F187" s="12">
        <v>2</v>
      </c>
      <c r="G187" s="161" t="s">
        <v>28</v>
      </c>
      <c r="H187" s="6" t="s">
        <v>28</v>
      </c>
      <c r="I187" s="154" t="s">
        <v>28</v>
      </c>
    </row>
  </sheetData>
  <customSheetViews>
    <customSheetView guid="{BF4B7214-A780-4E29-8376-D0EF10A37853}" showPageBreaks="1" fitToPage="1" printArea="1" hiddenColumns="1" view="pageBreakPreview" topLeftCell="A167">
      <selection activeCell="A188" sqref="A188"/>
      <pageMargins left="0.7" right="0.7" top="0.75" bottom="0.75" header="0.3" footer="0.3"/>
      <printOptions horizontalCentered="1"/>
      <pageSetup scale="18" orientation="landscape" r:id="rId1"/>
    </customSheetView>
  </customSheetViews>
  <mergeCells count="3">
    <mergeCell ref="E1:E2"/>
    <mergeCell ref="B1:B2"/>
    <mergeCell ref="F1:F2"/>
  </mergeCells>
  <printOptions horizontalCentered="1"/>
  <pageMargins left="0.7" right="0.7" top="0.75" bottom="0.75" header="0.3" footer="0.3"/>
  <pageSetup scale="18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5"/>
  <sheetViews>
    <sheetView topLeftCell="A1051" workbookViewId="0">
      <selection activeCell="Y44" sqref="Y44"/>
    </sheetView>
  </sheetViews>
  <sheetFormatPr defaultRowHeight="15" x14ac:dyDescent="0.25"/>
  <cols>
    <col min="1" max="2" width="29" customWidth="1"/>
    <col min="3" max="6" width="33" customWidth="1"/>
    <col min="7" max="7" width="17" style="154" customWidth="1"/>
  </cols>
  <sheetData>
    <row r="1" spans="1:7" x14ac:dyDescent="0.25">
      <c r="A1" s="21" t="s">
        <v>31</v>
      </c>
      <c r="B1" s="21"/>
      <c r="C1" s="190" t="s">
        <v>529</v>
      </c>
      <c r="D1" s="190"/>
      <c r="E1" s="190"/>
      <c r="F1" s="190"/>
    </row>
    <row r="2" spans="1:7" x14ac:dyDescent="0.25">
      <c r="A2" s="24" t="s">
        <v>39</v>
      </c>
      <c r="B2" s="24" t="s">
        <v>1038</v>
      </c>
      <c r="C2" s="155" t="s">
        <v>530</v>
      </c>
      <c r="D2" s="155" t="s">
        <v>531</v>
      </c>
      <c r="E2" s="155" t="s">
        <v>532</v>
      </c>
      <c r="F2" s="155" t="s">
        <v>533</v>
      </c>
      <c r="G2" s="155" t="s">
        <v>2089</v>
      </c>
    </row>
    <row r="3" spans="1:7" x14ac:dyDescent="0.25">
      <c r="A3" t="s">
        <v>159</v>
      </c>
      <c r="B3" t="s">
        <v>440</v>
      </c>
      <c r="C3" t="s">
        <v>1039</v>
      </c>
      <c r="D3">
        <v>-3.956483</v>
      </c>
      <c r="E3">
        <v>2.3256230000000002</v>
      </c>
      <c r="F3">
        <v>-1.63086</v>
      </c>
      <c r="G3" s="154">
        <v>7.0641069999999999</v>
      </c>
    </row>
    <row r="4" spans="1:7" x14ac:dyDescent="0.25">
      <c r="A4" t="s">
        <v>159</v>
      </c>
      <c r="B4" t="s">
        <v>440</v>
      </c>
      <c r="C4" t="s">
        <v>1040</v>
      </c>
      <c r="D4">
        <v>-3.5246179999999998</v>
      </c>
      <c r="E4">
        <v>1.6625110000000001</v>
      </c>
      <c r="F4">
        <v>-1.8621080000000001</v>
      </c>
      <c r="G4" s="154">
        <v>7.3838140000000001</v>
      </c>
    </row>
    <row r="5" spans="1:7" x14ac:dyDescent="0.25">
      <c r="A5" t="s">
        <v>159</v>
      </c>
      <c r="B5" t="s">
        <v>440</v>
      </c>
      <c r="C5" t="s">
        <v>1041</v>
      </c>
      <c r="D5">
        <v>-3.777879</v>
      </c>
      <c r="E5">
        <v>2.2967369999999998</v>
      </c>
      <c r="F5">
        <v>-1.481141</v>
      </c>
      <c r="G5" s="154">
        <v>8.4970859999999995</v>
      </c>
    </row>
    <row r="6" spans="1:7" x14ac:dyDescent="0.25">
      <c r="A6" t="s">
        <v>159</v>
      </c>
      <c r="B6" t="s">
        <v>440</v>
      </c>
      <c r="C6" t="s">
        <v>1042</v>
      </c>
      <c r="D6">
        <v>-3.653635</v>
      </c>
      <c r="E6">
        <v>1.4252849999999999</v>
      </c>
      <c r="F6">
        <v>-2.2283499999999998</v>
      </c>
      <c r="G6" s="154">
        <v>6.6785680000000003</v>
      </c>
    </row>
    <row r="7" spans="1:7" x14ac:dyDescent="0.25">
      <c r="A7" t="s">
        <v>159</v>
      </c>
      <c r="B7" t="s">
        <v>440</v>
      </c>
      <c r="C7" t="s">
        <v>1043</v>
      </c>
      <c r="D7">
        <v>-3.4730810000000001</v>
      </c>
      <c r="E7">
        <v>1.3762430000000001</v>
      </c>
      <c r="F7">
        <v>-2.096838</v>
      </c>
      <c r="G7" s="154">
        <v>6.6806380000000001</v>
      </c>
    </row>
    <row r="8" spans="1:7" x14ac:dyDescent="0.25">
      <c r="A8" t="s">
        <v>159</v>
      </c>
      <c r="B8" t="s">
        <v>440</v>
      </c>
      <c r="C8" t="s">
        <v>1044</v>
      </c>
      <c r="D8">
        <v>-3.73244</v>
      </c>
      <c r="E8">
        <v>1.9077919999999999</v>
      </c>
      <c r="F8">
        <v>-1.824648</v>
      </c>
      <c r="G8" s="154">
        <v>8.2787679999999995</v>
      </c>
    </row>
    <row r="9" spans="1:7" x14ac:dyDescent="0.25">
      <c r="A9" t="s">
        <v>159</v>
      </c>
      <c r="B9" t="s">
        <v>440</v>
      </c>
      <c r="C9" t="s">
        <v>1045</v>
      </c>
      <c r="D9">
        <v>-3.5922550000000002</v>
      </c>
      <c r="E9">
        <v>1.5762400000000001</v>
      </c>
      <c r="F9">
        <v>-2.0160149999999999</v>
      </c>
      <c r="G9" s="154">
        <v>7.0737069999999997</v>
      </c>
    </row>
    <row r="10" spans="1:7" x14ac:dyDescent="0.25">
      <c r="A10" t="s">
        <v>142</v>
      </c>
      <c r="B10" t="s">
        <v>272</v>
      </c>
      <c r="C10" t="s">
        <v>1046</v>
      </c>
      <c r="E10">
        <v>1.6365099999999999</v>
      </c>
      <c r="G10" s="154">
        <v>7.2374390000000002</v>
      </c>
    </row>
    <row r="11" spans="1:7" x14ac:dyDescent="0.25">
      <c r="A11" t="s">
        <v>142</v>
      </c>
      <c r="B11" t="s">
        <v>272</v>
      </c>
      <c r="C11" t="s">
        <v>1047</v>
      </c>
      <c r="E11">
        <v>1.4026559999999999</v>
      </c>
      <c r="G11" s="154">
        <v>7.0853890000000002</v>
      </c>
    </row>
    <row r="12" spans="1:7" x14ac:dyDescent="0.25">
      <c r="A12" t="s">
        <v>142</v>
      </c>
      <c r="B12" t="s">
        <v>272</v>
      </c>
      <c r="C12" t="s">
        <v>1048</v>
      </c>
      <c r="E12">
        <v>1.09422</v>
      </c>
      <c r="G12" s="154">
        <v>5.5452729999999999</v>
      </c>
    </row>
    <row r="13" spans="1:7" x14ac:dyDescent="0.25">
      <c r="A13" t="s">
        <v>142</v>
      </c>
      <c r="B13" t="s">
        <v>272</v>
      </c>
      <c r="C13" t="s">
        <v>1049</v>
      </c>
      <c r="E13">
        <v>1.813679</v>
      </c>
      <c r="G13" s="154">
        <v>6.9472110000000002</v>
      </c>
    </row>
    <row r="14" spans="1:7" x14ac:dyDescent="0.25">
      <c r="A14" t="s">
        <v>142</v>
      </c>
      <c r="B14" t="s">
        <v>272</v>
      </c>
      <c r="C14" t="s">
        <v>1050</v>
      </c>
      <c r="E14">
        <v>1.4789669999999999</v>
      </c>
      <c r="G14" s="154">
        <v>7.4790669999999997</v>
      </c>
    </row>
    <row r="15" spans="1:7" x14ac:dyDescent="0.25">
      <c r="A15" t="s">
        <v>142</v>
      </c>
      <c r="B15" t="s">
        <v>272</v>
      </c>
      <c r="C15" t="s">
        <v>1051</v>
      </c>
      <c r="E15">
        <v>1.2651209999999999</v>
      </c>
      <c r="G15" s="154">
        <v>6.1493450000000003</v>
      </c>
    </row>
    <row r="16" spans="1:7" x14ac:dyDescent="0.25">
      <c r="A16" t="s">
        <v>142</v>
      </c>
      <c r="B16" t="s">
        <v>272</v>
      </c>
      <c r="C16" t="s">
        <v>1052</v>
      </c>
      <c r="E16">
        <v>2.0632579999999998</v>
      </c>
      <c r="G16" s="154">
        <v>9.9725669999999997</v>
      </c>
    </row>
    <row r="17" spans="1:7" x14ac:dyDescent="0.25">
      <c r="A17" t="s">
        <v>142</v>
      </c>
      <c r="B17" t="s">
        <v>272</v>
      </c>
      <c r="C17" t="s">
        <v>1053</v>
      </c>
      <c r="E17">
        <v>1.2861359999999999</v>
      </c>
      <c r="G17" s="154">
        <v>6.7051559999999997</v>
      </c>
    </row>
    <row r="18" spans="1:7" x14ac:dyDescent="0.25">
      <c r="A18" t="s">
        <v>142</v>
      </c>
      <c r="B18" t="s">
        <v>272</v>
      </c>
      <c r="C18" t="s">
        <v>1054</v>
      </c>
      <c r="E18">
        <v>1.032878</v>
      </c>
      <c r="G18" s="154">
        <v>5.9506639999999997</v>
      </c>
    </row>
    <row r="19" spans="1:7" x14ac:dyDescent="0.25">
      <c r="A19" t="s">
        <v>142</v>
      </c>
      <c r="B19" t="s">
        <v>272</v>
      </c>
      <c r="C19" t="s">
        <v>1055</v>
      </c>
      <c r="E19">
        <v>1.1643829999999999</v>
      </c>
      <c r="G19" s="154">
        <v>6.5899099999999997</v>
      </c>
    </row>
    <row r="20" spans="1:7" x14ac:dyDescent="0.25">
      <c r="A20" t="s">
        <v>142</v>
      </c>
      <c r="B20" t="s">
        <v>272</v>
      </c>
      <c r="C20" t="s">
        <v>1056</v>
      </c>
      <c r="E20">
        <v>1.137975</v>
      </c>
      <c r="G20" s="154">
        <v>6.6980380000000004</v>
      </c>
    </row>
    <row r="21" spans="1:7" x14ac:dyDescent="0.25">
      <c r="A21" t="s">
        <v>142</v>
      </c>
      <c r="B21" t="s">
        <v>272</v>
      </c>
      <c r="C21" t="s">
        <v>1057</v>
      </c>
      <c r="E21">
        <v>1.509142</v>
      </c>
      <c r="G21" s="154">
        <v>7.373221</v>
      </c>
    </row>
    <row r="22" spans="1:7" x14ac:dyDescent="0.25">
      <c r="A22" t="s">
        <v>142</v>
      </c>
      <c r="B22" t="s">
        <v>272</v>
      </c>
      <c r="C22" t="s">
        <v>1058</v>
      </c>
      <c r="E22">
        <v>1.49657</v>
      </c>
      <c r="G22" s="154">
        <v>6.8978339999999996</v>
      </c>
    </row>
    <row r="23" spans="1:7" x14ac:dyDescent="0.25">
      <c r="A23" t="s">
        <v>142</v>
      </c>
      <c r="B23" t="s">
        <v>272</v>
      </c>
      <c r="C23" t="s">
        <v>1059</v>
      </c>
      <c r="E23">
        <v>1.5308470000000001</v>
      </c>
      <c r="G23" s="154">
        <v>5.4765300000000003</v>
      </c>
    </row>
    <row r="24" spans="1:7" x14ac:dyDescent="0.25">
      <c r="A24" t="s">
        <v>142</v>
      </c>
      <c r="B24" t="s">
        <v>272</v>
      </c>
      <c r="C24" t="s">
        <v>1060</v>
      </c>
      <c r="E24">
        <v>1.673746</v>
      </c>
      <c r="G24" s="154">
        <v>6.9765779999999999</v>
      </c>
    </row>
    <row r="25" spans="1:7" x14ac:dyDescent="0.25">
      <c r="A25" t="s">
        <v>142</v>
      </c>
      <c r="B25" t="s">
        <v>272</v>
      </c>
      <c r="C25" t="s">
        <v>1061</v>
      </c>
      <c r="E25">
        <v>1.492664</v>
      </c>
      <c r="G25" s="154">
        <v>6.5468580000000003</v>
      </c>
    </row>
    <row r="26" spans="1:7" x14ac:dyDescent="0.25">
      <c r="A26" t="s">
        <v>142</v>
      </c>
      <c r="B26" t="s">
        <v>272</v>
      </c>
      <c r="C26" t="s">
        <v>1062</v>
      </c>
      <c r="E26">
        <v>1.26519</v>
      </c>
      <c r="G26" s="154">
        <v>6.6704980000000003</v>
      </c>
    </row>
    <row r="27" spans="1:7" x14ac:dyDescent="0.25">
      <c r="A27" t="s">
        <v>142</v>
      </c>
      <c r="B27" t="s">
        <v>272</v>
      </c>
      <c r="C27" t="s">
        <v>1063</v>
      </c>
      <c r="E27">
        <v>1.3918410000000001</v>
      </c>
      <c r="G27" s="154">
        <v>7.0387240000000002</v>
      </c>
    </row>
    <row r="28" spans="1:7" x14ac:dyDescent="0.25">
      <c r="A28" t="s">
        <v>142</v>
      </c>
      <c r="B28" t="s">
        <v>272</v>
      </c>
      <c r="C28" t="s">
        <v>1064</v>
      </c>
      <c r="E28">
        <v>1.795866</v>
      </c>
      <c r="G28" s="154">
        <v>6.9775309999999999</v>
      </c>
    </row>
    <row r="29" spans="1:7" x14ac:dyDescent="0.25">
      <c r="A29" t="s">
        <v>142</v>
      </c>
      <c r="B29" t="s">
        <v>272</v>
      </c>
      <c r="C29" t="s">
        <v>1065</v>
      </c>
      <c r="E29">
        <v>1.7994140000000001</v>
      </c>
      <c r="G29" s="154">
        <v>7.4308630000000004</v>
      </c>
    </row>
    <row r="30" spans="1:7" x14ac:dyDescent="0.25">
      <c r="A30" t="s">
        <v>142</v>
      </c>
      <c r="B30" t="s">
        <v>272</v>
      </c>
      <c r="C30" t="s">
        <v>1066</v>
      </c>
      <c r="E30">
        <v>1.451797</v>
      </c>
      <c r="G30" s="154">
        <v>7.3473389999999998</v>
      </c>
    </row>
    <row r="31" spans="1:7" x14ac:dyDescent="0.25">
      <c r="A31" t="s">
        <v>142</v>
      </c>
      <c r="B31" t="s">
        <v>272</v>
      </c>
      <c r="C31" t="s">
        <v>1067</v>
      </c>
      <c r="E31">
        <v>1.173465</v>
      </c>
      <c r="G31" s="154">
        <v>5.7656280000000004</v>
      </c>
    </row>
    <row r="32" spans="1:7" x14ac:dyDescent="0.25">
      <c r="A32" t="s">
        <v>142</v>
      </c>
      <c r="B32" t="s">
        <v>272</v>
      </c>
      <c r="C32" t="s">
        <v>1068</v>
      </c>
      <c r="E32">
        <v>2.0885929999999999</v>
      </c>
      <c r="G32" s="154">
        <v>8.2380720000000007</v>
      </c>
    </row>
    <row r="33" spans="1:7" x14ac:dyDescent="0.25">
      <c r="A33" t="s">
        <v>142</v>
      </c>
      <c r="B33" t="s">
        <v>272</v>
      </c>
      <c r="C33" t="s">
        <v>1069</v>
      </c>
      <c r="E33">
        <v>1.46322</v>
      </c>
      <c r="G33" s="154">
        <v>6.9320649999999997</v>
      </c>
    </row>
    <row r="34" spans="1:7" x14ac:dyDescent="0.25">
      <c r="A34" t="s">
        <v>165</v>
      </c>
      <c r="B34" t="s">
        <v>276</v>
      </c>
      <c r="C34" t="s">
        <v>1070</v>
      </c>
      <c r="D34">
        <v>-5.4887699999999997</v>
      </c>
      <c r="E34">
        <v>1.759906</v>
      </c>
      <c r="F34">
        <v>-2.9202400000000002</v>
      </c>
      <c r="G34" s="154">
        <v>10.307</v>
      </c>
    </row>
    <row r="35" spans="1:7" x14ac:dyDescent="0.25">
      <c r="A35" t="s">
        <v>165</v>
      </c>
      <c r="B35" t="s">
        <v>276</v>
      </c>
      <c r="C35" t="s">
        <v>1071</v>
      </c>
      <c r="D35">
        <v>-5.3984779999999999</v>
      </c>
      <c r="E35">
        <v>1.8771409999999999</v>
      </c>
      <c r="F35">
        <v>-2.6577009999999999</v>
      </c>
      <c r="G35" s="154">
        <v>11.07226</v>
      </c>
    </row>
    <row r="36" spans="1:7" x14ac:dyDescent="0.25">
      <c r="A36" t="s">
        <v>165</v>
      </c>
      <c r="B36" t="s">
        <v>276</v>
      </c>
      <c r="C36" t="s">
        <v>1072</v>
      </c>
      <c r="D36">
        <v>-5.5056229999999999</v>
      </c>
      <c r="E36">
        <v>1.954998</v>
      </c>
      <c r="F36">
        <v>-2.6467079999999998</v>
      </c>
      <c r="G36" s="154">
        <v>10.63771</v>
      </c>
    </row>
    <row r="37" spans="1:7" x14ac:dyDescent="0.25">
      <c r="A37" t="s">
        <v>165</v>
      </c>
      <c r="B37" t="s">
        <v>276</v>
      </c>
      <c r="C37" t="s">
        <v>1073</v>
      </c>
      <c r="D37">
        <v>-5.3287240000000002</v>
      </c>
      <c r="E37">
        <v>2.1827570000000001</v>
      </c>
      <c r="F37">
        <v>-2.1830069999999999</v>
      </c>
      <c r="G37" s="154">
        <v>10.309279999999999</v>
      </c>
    </row>
    <row r="38" spans="1:7" x14ac:dyDescent="0.25">
      <c r="A38" t="s">
        <v>165</v>
      </c>
      <c r="B38" t="s">
        <v>276</v>
      </c>
      <c r="C38" t="s">
        <v>1074</v>
      </c>
      <c r="D38">
        <v>-5.297828</v>
      </c>
      <c r="E38">
        <v>1.9009130000000001</v>
      </c>
      <c r="F38">
        <v>-2.616333</v>
      </c>
      <c r="G38" s="154">
        <v>10.79654</v>
      </c>
    </row>
    <row r="39" spans="1:7" x14ac:dyDescent="0.25">
      <c r="A39" t="s">
        <v>165</v>
      </c>
      <c r="B39" t="s">
        <v>276</v>
      </c>
      <c r="C39" t="s">
        <v>1075</v>
      </c>
      <c r="D39">
        <v>-5.515288</v>
      </c>
      <c r="E39">
        <v>2.0051559999999999</v>
      </c>
      <c r="F39">
        <v>-2.4076490000000002</v>
      </c>
      <c r="G39" s="154">
        <v>10.22312</v>
      </c>
    </row>
    <row r="40" spans="1:7" x14ac:dyDescent="0.25">
      <c r="A40" t="s">
        <v>165</v>
      </c>
      <c r="B40" t="s">
        <v>276</v>
      </c>
      <c r="C40" t="s">
        <v>1076</v>
      </c>
      <c r="D40">
        <v>-5.339823</v>
      </c>
      <c r="E40">
        <v>1.8747860000000001</v>
      </c>
      <c r="F40">
        <v>-2.5598209999999999</v>
      </c>
      <c r="G40" s="154">
        <v>10.53065</v>
      </c>
    </row>
    <row r="41" spans="1:7" x14ac:dyDescent="0.25">
      <c r="A41" t="s">
        <v>165</v>
      </c>
      <c r="B41" t="s">
        <v>276</v>
      </c>
      <c r="C41" t="s">
        <v>1077</v>
      </c>
      <c r="D41">
        <v>-5.0833339999999998</v>
      </c>
      <c r="E41">
        <v>2.0094720000000001</v>
      </c>
      <c r="F41">
        <v>-2.1741429999999999</v>
      </c>
      <c r="G41" s="154">
        <v>10.459099999999999</v>
      </c>
    </row>
    <row r="42" spans="1:7" x14ac:dyDescent="0.25">
      <c r="A42" t="s">
        <v>165</v>
      </c>
      <c r="B42" t="s">
        <v>276</v>
      </c>
      <c r="C42" t="s">
        <v>1078</v>
      </c>
      <c r="D42">
        <v>-5.8430869999999997</v>
      </c>
      <c r="E42">
        <v>1.8948750000000001</v>
      </c>
      <c r="F42">
        <v>-3.137734</v>
      </c>
      <c r="G42" s="154">
        <v>10.824389999999999</v>
      </c>
    </row>
    <row r="43" spans="1:7" x14ac:dyDescent="0.25">
      <c r="A43" t="s">
        <v>158</v>
      </c>
      <c r="B43" t="s">
        <v>283</v>
      </c>
      <c r="C43" t="s">
        <v>1079</v>
      </c>
      <c r="D43">
        <v>-5.544772</v>
      </c>
      <c r="E43">
        <v>1.8193159999999999</v>
      </c>
      <c r="F43">
        <v>-2.5700090000000002</v>
      </c>
      <c r="G43" s="154">
        <v>10.37323</v>
      </c>
    </row>
    <row r="44" spans="1:7" x14ac:dyDescent="0.25">
      <c r="A44" t="s">
        <v>158</v>
      </c>
      <c r="B44" t="s">
        <v>283</v>
      </c>
      <c r="C44" t="s">
        <v>1080</v>
      </c>
      <c r="D44">
        <v>-5.690588</v>
      </c>
      <c r="E44">
        <v>2.1775829999999998</v>
      </c>
      <c r="F44">
        <v>-3.205632</v>
      </c>
      <c r="G44" s="154">
        <v>10.004949999999999</v>
      </c>
    </row>
    <row r="45" spans="1:7" x14ac:dyDescent="0.25">
      <c r="A45" t="s">
        <v>158</v>
      </c>
      <c r="B45" t="s">
        <v>283</v>
      </c>
      <c r="C45" t="s">
        <v>1081</v>
      </c>
      <c r="D45">
        <v>-5.8087939999999998</v>
      </c>
      <c r="E45">
        <v>1.8405050000000001</v>
      </c>
      <c r="F45">
        <v>-3.1718190000000002</v>
      </c>
      <c r="G45" s="154">
        <v>10.2262</v>
      </c>
    </row>
    <row r="46" spans="1:7" x14ac:dyDescent="0.25">
      <c r="A46" t="s">
        <v>158</v>
      </c>
      <c r="B46" t="s">
        <v>283</v>
      </c>
      <c r="C46" t="s">
        <v>1082</v>
      </c>
      <c r="D46">
        <v>-5.5036399999999999</v>
      </c>
      <c r="E46">
        <v>1.706078</v>
      </c>
      <c r="F46">
        <v>-2.600371</v>
      </c>
      <c r="G46" s="154">
        <v>10.49883</v>
      </c>
    </row>
    <row r="47" spans="1:7" x14ac:dyDescent="0.25">
      <c r="A47" t="s">
        <v>158</v>
      </c>
      <c r="B47" t="s">
        <v>283</v>
      </c>
      <c r="C47" t="s">
        <v>1083</v>
      </c>
      <c r="D47">
        <v>-5.5346209999999996</v>
      </c>
      <c r="E47">
        <v>1.500316</v>
      </c>
      <c r="F47">
        <v>-2.9567040000000002</v>
      </c>
      <c r="G47" s="154">
        <v>11.469889999999999</v>
      </c>
    </row>
    <row r="48" spans="1:7" x14ac:dyDescent="0.25">
      <c r="A48" t="s">
        <v>158</v>
      </c>
      <c r="B48" t="s">
        <v>283</v>
      </c>
      <c r="C48" t="s">
        <v>1084</v>
      </c>
      <c r="D48">
        <v>-5.9384129999999997</v>
      </c>
      <c r="E48">
        <v>1.6135699999999999</v>
      </c>
      <c r="F48">
        <v>-3.116771</v>
      </c>
      <c r="G48" s="154">
        <v>8.8754139999999992</v>
      </c>
    </row>
    <row r="49" spans="1:7" x14ac:dyDescent="0.25">
      <c r="A49" t="s">
        <v>158</v>
      </c>
      <c r="B49" t="s">
        <v>283</v>
      </c>
      <c r="C49" t="s">
        <v>1085</v>
      </c>
      <c r="D49">
        <v>-5.6024139999999996</v>
      </c>
      <c r="E49">
        <v>1.6511549999999999</v>
      </c>
      <c r="F49">
        <v>-3.037023</v>
      </c>
      <c r="G49" s="154">
        <v>8.9219460000000002</v>
      </c>
    </row>
    <row r="50" spans="1:7" x14ac:dyDescent="0.25">
      <c r="A50" t="s">
        <v>158</v>
      </c>
      <c r="B50" t="s">
        <v>283</v>
      </c>
      <c r="C50" t="s">
        <v>1086</v>
      </c>
      <c r="D50">
        <v>-5.7804349999999998</v>
      </c>
      <c r="E50">
        <v>1.5491889999999999</v>
      </c>
      <c r="F50">
        <v>-3.3396789999999998</v>
      </c>
      <c r="G50" s="154">
        <v>9.5784439999999993</v>
      </c>
    </row>
    <row r="51" spans="1:7" x14ac:dyDescent="0.25">
      <c r="A51" t="s">
        <v>158</v>
      </c>
      <c r="B51" t="s">
        <v>283</v>
      </c>
      <c r="C51" t="s">
        <v>1087</v>
      </c>
      <c r="D51">
        <v>-5.7281630000000003</v>
      </c>
      <c r="E51">
        <v>1.3797509999999999</v>
      </c>
      <c r="F51">
        <v>-3.6245210000000001</v>
      </c>
      <c r="G51" s="154">
        <v>9.3696909999999995</v>
      </c>
    </row>
    <row r="52" spans="1:7" x14ac:dyDescent="0.25">
      <c r="A52" t="s">
        <v>158</v>
      </c>
      <c r="B52" t="s">
        <v>283</v>
      </c>
      <c r="C52" t="s">
        <v>1088</v>
      </c>
      <c r="D52">
        <v>-5.4164479999999999</v>
      </c>
      <c r="E52">
        <v>1.573931</v>
      </c>
      <c r="F52">
        <v>-2.706906</v>
      </c>
      <c r="G52" s="154">
        <v>10.83845</v>
      </c>
    </row>
    <row r="53" spans="1:7" x14ac:dyDescent="0.25">
      <c r="A53" t="s">
        <v>158</v>
      </c>
      <c r="B53" t="s">
        <v>283</v>
      </c>
      <c r="C53" t="s">
        <v>1089</v>
      </c>
      <c r="D53">
        <v>-5.1520159999999997</v>
      </c>
      <c r="E53">
        <v>1.604263</v>
      </c>
      <c r="F53">
        <v>-2.4549650000000001</v>
      </c>
      <c r="G53" s="154">
        <v>9.6423480000000001</v>
      </c>
    </row>
    <row r="54" spans="1:7" x14ac:dyDescent="0.25">
      <c r="A54" t="s">
        <v>62</v>
      </c>
      <c r="B54" t="s">
        <v>285</v>
      </c>
      <c r="C54" t="s">
        <v>1090</v>
      </c>
      <c r="D54">
        <v>-11.99164</v>
      </c>
      <c r="E54">
        <v>6.9598409999999999</v>
      </c>
      <c r="F54">
        <v>-5.0317949999999998</v>
      </c>
      <c r="G54" s="154">
        <v>0.4019894</v>
      </c>
    </row>
    <row r="55" spans="1:7" x14ac:dyDescent="0.25">
      <c r="A55" t="s">
        <v>62</v>
      </c>
      <c r="B55" t="s">
        <v>285</v>
      </c>
      <c r="C55" t="s">
        <v>1091</v>
      </c>
      <c r="D55">
        <v>-11.80898</v>
      </c>
      <c r="E55">
        <v>6.830406</v>
      </c>
      <c r="F55">
        <v>-4.9785769999999996</v>
      </c>
      <c r="G55" s="154">
        <v>0.85883699999999996</v>
      </c>
    </row>
    <row r="56" spans="1:7" x14ac:dyDescent="0.25">
      <c r="A56" t="s">
        <v>62</v>
      </c>
      <c r="B56" t="s">
        <v>285</v>
      </c>
      <c r="C56" t="s">
        <v>1092</v>
      </c>
      <c r="D56">
        <v>-9.7785220000000006</v>
      </c>
      <c r="E56">
        <v>5.8987930000000004</v>
      </c>
      <c r="F56">
        <v>-3.8797280000000001</v>
      </c>
      <c r="G56" s="154">
        <v>1.9669030000000001</v>
      </c>
    </row>
    <row r="57" spans="1:7" x14ac:dyDescent="0.25">
      <c r="A57" t="s">
        <v>62</v>
      </c>
      <c r="B57" t="s">
        <v>285</v>
      </c>
      <c r="C57" t="s">
        <v>1093</v>
      </c>
      <c r="D57">
        <v>-11.450430000000001</v>
      </c>
      <c r="E57">
        <v>6.9598409999999999</v>
      </c>
      <c r="F57">
        <v>-4.4905900000000001</v>
      </c>
      <c r="G57" s="154">
        <v>1.2644230000000001</v>
      </c>
    </row>
    <row r="58" spans="1:7" x14ac:dyDescent="0.25">
      <c r="A58" t="s">
        <v>62</v>
      </c>
      <c r="B58" t="s">
        <v>285</v>
      </c>
      <c r="C58" t="s">
        <v>1094</v>
      </c>
      <c r="D58">
        <v>-11.655010000000001</v>
      </c>
      <c r="E58">
        <v>6.7628019999999998</v>
      </c>
      <c r="F58">
        <v>-4.8922059999999998</v>
      </c>
      <c r="G58" s="154">
        <v>1.3844639999999999</v>
      </c>
    </row>
    <row r="59" spans="1:7" x14ac:dyDescent="0.25">
      <c r="A59" t="s">
        <v>62</v>
      </c>
      <c r="B59" t="s">
        <v>285</v>
      </c>
      <c r="C59" t="s">
        <v>1095</v>
      </c>
      <c r="D59">
        <v>-11.427060000000001</v>
      </c>
      <c r="E59">
        <v>6.3810070000000003</v>
      </c>
      <c r="F59">
        <v>-5.0460560000000001</v>
      </c>
      <c r="G59" s="154">
        <v>1.1919770000000001</v>
      </c>
    </row>
    <row r="60" spans="1:7" x14ac:dyDescent="0.25">
      <c r="A60" t="s">
        <v>62</v>
      </c>
      <c r="B60" t="s">
        <v>285</v>
      </c>
      <c r="C60" t="s">
        <v>1096</v>
      </c>
      <c r="D60">
        <v>-11.92305</v>
      </c>
      <c r="E60">
        <v>6.830406</v>
      </c>
      <c r="F60">
        <v>-5.0926460000000002</v>
      </c>
      <c r="G60" s="154">
        <v>1.0824769999999999</v>
      </c>
    </row>
    <row r="61" spans="1:7" x14ac:dyDescent="0.25">
      <c r="A61" t="s">
        <v>62</v>
      </c>
      <c r="B61" t="s">
        <v>285</v>
      </c>
      <c r="C61" t="s">
        <v>1097</v>
      </c>
      <c r="D61">
        <v>-8.6236139999999999</v>
      </c>
      <c r="E61">
        <v>5.8987930000000004</v>
      </c>
      <c r="F61">
        <v>-2.7248209999999999</v>
      </c>
      <c r="G61" s="154">
        <v>4.5955170000000001</v>
      </c>
    </row>
    <row r="62" spans="1:7" x14ac:dyDescent="0.25">
      <c r="A62" t="s">
        <v>62</v>
      </c>
      <c r="B62" t="s">
        <v>285</v>
      </c>
      <c r="C62" t="s">
        <v>1098</v>
      </c>
      <c r="D62">
        <v>-10.72228</v>
      </c>
      <c r="E62">
        <v>6.3810070000000003</v>
      </c>
      <c r="F62">
        <v>-4.3412740000000003</v>
      </c>
      <c r="G62" s="154">
        <v>1.6715690000000001</v>
      </c>
    </row>
    <row r="63" spans="1:7" x14ac:dyDescent="0.25">
      <c r="A63" t="s">
        <v>62</v>
      </c>
      <c r="B63" t="s">
        <v>285</v>
      </c>
      <c r="C63" t="s">
        <v>1099</v>
      </c>
      <c r="D63">
        <v>-10.61849</v>
      </c>
      <c r="E63">
        <v>6.7678729999999998</v>
      </c>
      <c r="F63">
        <v>-3.8506170000000002</v>
      </c>
      <c r="G63" s="154">
        <v>2.3840970000000001</v>
      </c>
    </row>
    <row r="64" spans="1:7" x14ac:dyDescent="0.25">
      <c r="A64" t="s">
        <v>62</v>
      </c>
      <c r="B64" t="s">
        <v>285</v>
      </c>
      <c r="C64" t="s">
        <v>1100</v>
      </c>
      <c r="D64">
        <v>-11.56331</v>
      </c>
      <c r="E64">
        <v>6.7678729999999998</v>
      </c>
      <c r="F64">
        <v>-4.7954330000000001</v>
      </c>
      <c r="G64" s="154">
        <v>0.82856660000000004</v>
      </c>
    </row>
    <row r="65" spans="1:9" x14ac:dyDescent="0.25">
      <c r="A65" t="s">
        <v>62</v>
      </c>
      <c r="B65" t="s">
        <v>285</v>
      </c>
      <c r="C65" t="s">
        <v>1101</v>
      </c>
      <c r="D65">
        <v>-11.097799999999999</v>
      </c>
      <c r="E65">
        <v>6.7628019999999998</v>
      </c>
      <c r="F65">
        <v>-4.3349950000000002</v>
      </c>
      <c r="G65" s="154">
        <v>1.4130339999999999</v>
      </c>
    </row>
    <row r="66" spans="1:9" x14ac:dyDescent="0.25">
      <c r="A66" t="s">
        <v>57</v>
      </c>
      <c r="B66" t="s">
        <v>294</v>
      </c>
      <c r="C66" t="s">
        <v>1102</v>
      </c>
      <c r="D66">
        <v>-10.274889999999999</v>
      </c>
      <c r="G66" s="154">
        <v>0.5771638</v>
      </c>
    </row>
    <row r="67" spans="1:9" x14ac:dyDescent="0.25">
      <c r="A67" t="s">
        <v>57</v>
      </c>
      <c r="B67" t="s">
        <v>294</v>
      </c>
      <c r="C67" t="s">
        <v>1103</v>
      </c>
      <c r="D67">
        <v>-9.0517540000000007</v>
      </c>
      <c r="G67" s="154">
        <v>0.81039340000000004</v>
      </c>
    </row>
    <row r="68" spans="1:9" x14ac:dyDescent="0.25">
      <c r="A68" t="s">
        <v>57</v>
      </c>
      <c r="B68" t="s">
        <v>294</v>
      </c>
      <c r="C68" t="s">
        <v>1104</v>
      </c>
      <c r="D68">
        <v>-6.9529439999999996</v>
      </c>
      <c r="G68" s="154">
        <v>3.2040440000000001</v>
      </c>
    </row>
    <row r="69" spans="1:9" x14ac:dyDescent="0.25">
      <c r="A69" t="s">
        <v>57</v>
      </c>
      <c r="B69" t="s">
        <v>294</v>
      </c>
      <c r="C69" t="s">
        <v>1105</v>
      </c>
      <c r="D69">
        <v>-10.892150000000001</v>
      </c>
      <c r="G69" s="154">
        <v>0.64037080000000002</v>
      </c>
    </row>
    <row r="70" spans="1:9" x14ac:dyDescent="0.25">
      <c r="A70" t="s">
        <v>57</v>
      </c>
      <c r="B70" t="s">
        <v>294</v>
      </c>
      <c r="C70" t="s">
        <v>1106</v>
      </c>
      <c r="D70">
        <v>-9.9048049999999996</v>
      </c>
      <c r="G70" s="154">
        <v>0.41144639999999999</v>
      </c>
    </row>
    <row r="71" spans="1:9" x14ac:dyDescent="0.25">
      <c r="A71" t="s">
        <v>57</v>
      </c>
      <c r="B71" t="s">
        <v>294</v>
      </c>
      <c r="C71" t="s">
        <v>1107</v>
      </c>
      <c r="D71">
        <v>-9.1605270000000001</v>
      </c>
      <c r="G71" s="154">
        <v>0.83548129999999998</v>
      </c>
    </row>
    <row r="72" spans="1:9" x14ac:dyDescent="0.25">
      <c r="A72" t="s">
        <v>57</v>
      </c>
      <c r="B72" t="s">
        <v>294</v>
      </c>
      <c r="C72" t="s">
        <v>1108</v>
      </c>
      <c r="D72">
        <v>-9.3524410000000007</v>
      </c>
      <c r="G72" s="154">
        <v>0.42147129999999999</v>
      </c>
    </row>
    <row r="73" spans="1:9" x14ac:dyDescent="0.25">
      <c r="A73" t="s">
        <v>57</v>
      </c>
      <c r="B73" t="s">
        <v>294</v>
      </c>
      <c r="C73" t="s">
        <v>1109</v>
      </c>
      <c r="D73">
        <v>-10.284549999999999</v>
      </c>
      <c r="G73" s="154">
        <v>0.3008074</v>
      </c>
    </row>
    <row r="74" spans="1:9" x14ac:dyDescent="0.25">
      <c r="A74" t="s">
        <v>57</v>
      </c>
      <c r="B74" t="s">
        <v>294</v>
      </c>
      <c r="C74" t="s">
        <v>1110</v>
      </c>
      <c r="D74">
        <v>-7.7369380000000003</v>
      </c>
      <c r="G74" s="154">
        <v>1.4358770000000001</v>
      </c>
    </row>
    <row r="75" spans="1:9" x14ac:dyDescent="0.25">
      <c r="A75" t="s">
        <v>57</v>
      </c>
      <c r="B75" t="s">
        <v>294</v>
      </c>
      <c r="C75" t="s">
        <v>1111</v>
      </c>
      <c r="D75">
        <v>-9.8466149999999999</v>
      </c>
      <c r="G75" s="154">
        <v>0.56578850000000003</v>
      </c>
    </row>
    <row r="76" spans="1:9" x14ac:dyDescent="0.25">
      <c r="A76" t="s">
        <v>57</v>
      </c>
      <c r="B76" t="s">
        <v>294</v>
      </c>
      <c r="C76" t="s">
        <v>1112</v>
      </c>
      <c r="D76">
        <v>-10.833159999999999</v>
      </c>
      <c r="G76" s="154">
        <v>0.21856310000000001</v>
      </c>
    </row>
    <row r="77" spans="1:9" x14ac:dyDescent="0.25">
      <c r="A77" t="s">
        <v>57</v>
      </c>
      <c r="B77" t="s">
        <v>294</v>
      </c>
      <c r="C77" t="s">
        <v>1113</v>
      </c>
      <c r="D77">
        <v>-10.395009999999999</v>
      </c>
      <c r="G77" s="154">
        <v>0.48883480000000001</v>
      </c>
    </row>
    <row r="78" spans="1:9" x14ac:dyDescent="0.25">
      <c r="A78" t="s">
        <v>106</v>
      </c>
      <c r="B78" t="s">
        <v>293</v>
      </c>
      <c r="D78" t="s">
        <v>1114</v>
      </c>
      <c r="E78">
        <v>-5.4632170000000002</v>
      </c>
      <c r="F78">
        <v>2.0376340000000002</v>
      </c>
      <c r="H78">
        <v>10.326320000000001</v>
      </c>
    </row>
    <row r="79" spans="1:9" x14ac:dyDescent="0.25">
      <c r="A79" t="s">
        <v>106</v>
      </c>
      <c r="B79" t="s">
        <v>293</v>
      </c>
      <c r="D79" t="s">
        <v>1115</v>
      </c>
      <c r="F79">
        <v>-5.5698359999999996</v>
      </c>
      <c r="G79" s="154">
        <v>-2.6677</v>
      </c>
      <c r="I79">
        <v>9.7647549999999992</v>
      </c>
    </row>
    <row r="80" spans="1:9" x14ac:dyDescent="0.25">
      <c r="A80" t="s">
        <v>106</v>
      </c>
      <c r="B80" t="s">
        <v>293</v>
      </c>
      <c r="D80" t="s">
        <v>1116</v>
      </c>
      <c r="F80">
        <v>-5.6135960000000003</v>
      </c>
      <c r="G80" s="154">
        <v>-2.4945349999999999</v>
      </c>
      <c r="I80">
        <v>10.06457</v>
      </c>
    </row>
    <row r="81" spans="1:9" x14ac:dyDescent="0.25">
      <c r="A81" t="s">
        <v>106</v>
      </c>
      <c r="B81" t="s">
        <v>293</v>
      </c>
      <c r="D81" t="s">
        <v>1117</v>
      </c>
      <c r="F81">
        <v>-5.4963490000000004</v>
      </c>
      <c r="G81" s="154">
        <v>-2.4473500000000001</v>
      </c>
      <c r="I81">
        <v>11.62903</v>
      </c>
    </row>
    <row r="82" spans="1:9" x14ac:dyDescent="0.25">
      <c r="A82" t="s">
        <v>106</v>
      </c>
      <c r="B82" t="s">
        <v>293</v>
      </c>
      <c r="D82" t="s">
        <v>1118</v>
      </c>
      <c r="E82">
        <v>-5.4006499999999997</v>
      </c>
      <c r="F82">
        <v>2.020492</v>
      </c>
      <c r="H82">
        <v>9.8627280000000006</v>
      </c>
    </row>
    <row r="83" spans="1:9" x14ac:dyDescent="0.25">
      <c r="A83" t="s">
        <v>106</v>
      </c>
      <c r="B83" t="s">
        <v>293</v>
      </c>
      <c r="C83" t="s">
        <v>1119</v>
      </c>
      <c r="D83">
        <v>-5.7179130000000002</v>
      </c>
      <c r="E83">
        <v>1.957166</v>
      </c>
      <c r="F83">
        <v>-2.590211</v>
      </c>
      <c r="G83" s="154">
        <v>10.145429999999999</v>
      </c>
    </row>
    <row r="84" spans="1:9" x14ac:dyDescent="0.25">
      <c r="A84" t="s">
        <v>97</v>
      </c>
      <c r="B84" t="s">
        <v>288</v>
      </c>
      <c r="C84" t="s">
        <v>1120</v>
      </c>
      <c r="E84">
        <v>2.1189079999999998</v>
      </c>
      <c r="F84">
        <v>-1.714229</v>
      </c>
      <c r="G84" s="154">
        <v>5.8775069999999996</v>
      </c>
    </row>
    <row r="85" spans="1:9" x14ac:dyDescent="0.25">
      <c r="A85" t="s">
        <v>5</v>
      </c>
      <c r="B85" t="s">
        <v>290</v>
      </c>
      <c r="C85" t="s">
        <v>1121</v>
      </c>
      <c r="D85">
        <v>-4.3969870000000002</v>
      </c>
      <c r="E85">
        <v>2.5044870000000001</v>
      </c>
      <c r="F85">
        <v>-1.8826959999999999</v>
      </c>
      <c r="G85" s="154">
        <v>3.5755309999999998</v>
      </c>
    </row>
    <row r="86" spans="1:9" x14ac:dyDescent="0.25">
      <c r="A86" t="s">
        <v>5</v>
      </c>
      <c r="B86" t="s">
        <v>290</v>
      </c>
      <c r="C86" t="s">
        <v>1122</v>
      </c>
      <c r="D86">
        <v>-4.5538670000000003</v>
      </c>
      <c r="E86">
        <v>2.5827619999999998</v>
      </c>
      <c r="F86">
        <v>-1.957579</v>
      </c>
      <c r="G86" s="154">
        <v>3.1398999999999999</v>
      </c>
    </row>
    <row r="87" spans="1:9" x14ac:dyDescent="0.25">
      <c r="A87" t="s">
        <v>5</v>
      </c>
      <c r="B87" t="s">
        <v>290</v>
      </c>
      <c r="C87" t="s">
        <v>1123</v>
      </c>
      <c r="D87">
        <v>-4.4809320000000001</v>
      </c>
      <c r="E87">
        <v>2.6734049999999998</v>
      </c>
      <c r="F87">
        <v>-1.795614</v>
      </c>
      <c r="G87" s="154">
        <v>4.8007580000000001</v>
      </c>
    </row>
    <row r="88" spans="1:9" x14ac:dyDescent="0.25">
      <c r="A88" t="s">
        <v>5</v>
      </c>
      <c r="B88" t="s">
        <v>290</v>
      </c>
      <c r="C88" t="s">
        <v>1124</v>
      </c>
      <c r="D88">
        <v>-4.7007149999999998</v>
      </c>
      <c r="E88">
        <v>2.8820809999999999</v>
      </c>
      <c r="F88">
        <v>-1.8168569999999999</v>
      </c>
      <c r="G88" s="154">
        <v>4.2968219999999997</v>
      </c>
    </row>
    <row r="89" spans="1:9" x14ac:dyDescent="0.25">
      <c r="A89" t="s">
        <v>5</v>
      </c>
      <c r="B89" t="s">
        <v>290</v>
      </c>
      <c r="C89" t="s">
        <v>1125</v>
      </c>
      <c r="D89">
        <v>-4.1386459999999996</v>
      </c>
      <c r="E89">
        <v>2.15211</v>
      </c>
      <c r="F89">
        <v>-1.9661999999999999</v>
      </c>
      <c r="G89" s="154">
        <v>3.5550830000000002</v>
      </c>
    </row>
    <row r="90" spans="1:9" x14ac:dyDescent="0.25">
      <c r="A90" t="s">
        <v>5</v>
      </c>
      <c r="B90" t="s">
        <v>290</v>
      </c>
      <c r="C90" t="s">
        <v>1126</v>
      </c>
      <c r="D90">
        <v>-4.1142760000000003</v>
      </c>
      <c r="E90">
        <v>2.1820059999999999</v>
      </c>
      <c r="F90">
        <v>-1.9143790000000001</v>
      </c>
      <c r="G90" s="154">
        <v>3.5415670000000001</v>
      </c>
    </row>
    <row r="91" spans="1:9" x14ac:dyDescent="0.25">
      <c r="A91" t="s">
        <v>5</v>
      </c>
      <c r="B91" t="s">
        <v>290</v>
      </c>
      <c r="C91" t="s">
        <v>1052</v>
      </c>
      <c r="D91">
        <v>-3.446834</v>
      </c>
      <c r="E91">
        <v>2.5891229999999998</v>
      </c>
      <c r="F91">
        <v>-0.85545629999999995</v>
      </c>
      <c r="G91" s="154">
        <v>6.6820339999999998</v>
      </c>
    </row>
    <row r="92" spans="1:9" x14ac:dyDescent="0.25">
      <c r="A92" t="s">
        <v>5</v>
      </c>
      <c r="B92" t="s">
        <v>290</v>
      </c>
      <c r="C92" t="s">
        <v>1127</v>
      </c>
      <c r="D92">
        <v>-3.608088</v>
      </c>
      <c r="E92">
        <v>2.1928540000000001</v>
      </c>
      <c r="F92">
        <v>-1.405688</v>
      </c>
      <c r="G92" s="154">
        <v>4.9060420000000002</v>
      </c>
    </row>
    <row r="93" spans="1:9" x14ac:dyDescent="0.25">
      <c r="A93" t="s">
        <v>5</v>
      </c>
      <c r="B93" t="s">
        <v>290</v>
      </c>
      <c r="C93" t="s">
        <v>1128</v>
      </c>
      <c r="D93">
        <v>-3.7265739999999998</v>
      </c>
      <c r="E93">
        <v>2.1383369999999999</v>
      </c>
      <c r="F93">
        <v>-1.5749379999999999</v>
      </c>
      <c r="G93" s="154">
        <v>4.6085779999999996</v>
      </c>
    </row>
    <row r="94" spans="1:9" x14ac:dyDescent="0.25">
      <c r="A94" t="s">
        <v>5</v>
      </c>
      <c r="B94" t="s">
        <v>290</v>
      </c>
      <c r="C94" t="s">
        <v>1129</v>
      </c>
      <c r="D94">
        <v>-4.6717029999999999</v>
      </c>
      <c r="E94">
        <v>2.215338</v>
      </c>
      <c r="F94">
        <v>-2.4323959999999998</v>
      </c>
      <c r="G94" s="154">
        <v>3.1590319999999998</v>
      </c>
    </row>
    <row r="95" spans="1:9" x14ac:dyDescent="0.25">
      <c r="A95" t="s">
        <v>5</v>
      </c>
      <c r="B95" t="s">
        <v>290</v>
      </c>
      <c r="C95" t="s">
        <v>1130</v>
      </c>
      <c r="D95">
        <v>-3.7101380000000002</v>
      </c>
      <c r="E95">
        <v>2.0985740000000002</v>
      </c>
      <c r="F95">
        <v>-1.5780650000000001</v>
      </c>
      <c r="G95" s="154">
        <v>4.5367480000000002</v>
      </c>
    </row>
    <row r="96" spans="1:9" x14ac:dyDescent="0.25">
      <c r="A96" t="s">
        <v>5</v>
      </c>
      <c r="B96" t="s">
        <v>290</v>
      </c>
      <c r="C96" t="s">
        <v>1131</v>
      </c>
      <c r="D96">
        <v>-3.7663479999999998</v>
      </c>
      <c r="E96">
        <v>2.169937</v>
      </c>
      <c r="F96">
        <v>-1.559542</v>
      </c>
      <c r="G96" s="154">
        <v>4.6948720000000002</v>
      </c>
    </row>
    <row r="97" spans="1:7" x14ac:dyDescent="0.25">
      <c r="A97" t="s">
        <v>5</v>
      </c>
      <c r="B97" t="s">
        <v>290</v>
      </c>
      <c r="C97" t="s">
        <v>1132</v>
      </c>
      <c r="D97">
        <v>-3.6226389999999999</v>
      </c>
      <c r="E97">
        <v>2.13374</v>
      </c>
      <c r="F97">
        <v>-1.4722770000000001</v>
      </c>
      <c r="G97" s="154">
        <v>4.672803</v>
      </c>
    </row>
    <row r="98" spans="1:7" x14ac:dyDescent="0.25">
      <c r="A98" t="s">
        <v>5</v>
      </c>
      <c r="B98" t="s">
        <v>290</v>
      </c>
      <c r="C98" t="s">
        <v>1133</v>
      </c>
      <c r="D98">
        <v>-3.3685800000000001</v>
      </c>
      <c r="E98">
        <v>2.0273340000000002</v>
      </c>
      <c r="F98">
        <v>-1.3269580000000001</v>
      </c>
      <c r="G98" s="154">
        <v>5.0442429999999998</v>
      </c>
    </row>
    <row r="99" spans="1:7" x14ac:dyDescent="0.25">
      <c r="A99" t="s">
        <v>5</v>
      </c>
      <c r="B99" t="s">
        <v>290</v>
      </c>
      <c r="C99" t="s">
        <v>1134</v>
      </c>
      <c r="D99">
        <v>-4.2397980000000004</v>
      </c>
      <c r="E99">
        <v>2.2746490000000001</v>
      </c>
      <c r="F99">
        <v>-1.9564619999999999</v>
      </c>
      <c r="G99" s="154">
        <v>3.4314309999999999</v>
      </c>
    </row>
    <row r="100" spans="1:7" x14ac:dyDescent="0.25">
      <c r="A100" t="s">
        <v>5</v>
      </c>
      <c r="B100" t="s">
        <v>290</v>
      </c>
      <c r="C100" t="s">
        <v>1135</v>
      </c>
      <c r="D100">
        <v>-4.7498069999999997</v>
      </c>
      <c r="E100">
        <v>2.5941179999999999</v>
      </c>
      <c r="F100">
        <v>-2.137931</v>
      </c>
      <c r="G100" s="154">
        <v>3.7879619999999998</v>
      </c>
    </row>
    <row r="101" spans="1:7" x14ac:dyDescent="0.25">
      <c r="A101" t="s">
        <v>5</v>
      </c>
      <c r="B101" t="s">
        <v>290</v>
      </c>
      <c r="C101" t="s">
        <v>1136</v>
      </c>
      <c r="D101">
        <v>-4.2827809999999999</v>
      </c>
      <c r="E101">
        <v>2.4145180000000002</v>
      </c>
      <c r="F101">
        <v>-1.8518209999999999</v>
      </c>
      <c r="G101" s="154">
        <v>4.022265</v>
      </c>
    </row>
    <row r="102" spans="1:7" x14ac:dyDescent="0.25">
      <c r="A102" t="s">
        <v>5</v>
      </c>
      <c r="B102" t="s">
        <v>290</v>
      </c>
      <c r="C102" t="s">
        <v>1137</v>
      </c>
      <c r="D102">
        <v>-4.3403609999999997</v>
      </c>
      <c r="E102">
        <v>2.1113360000000001</v>
      </c>
      <c r="F102">
        <v>-2.2199749999999998</v>
      </c>
      <c r="G102" s="154">
        <v>3.0360839999999998</v>
      </c>
    </row>
    <row r="103" spans="1:7" x14ac:dyDescent="0.25">
      <c r="A103" t="s">
        <v>5</v>
      </c>
      <c r="B103" t="s">
        <v>290</v>
      </c>
      <c r="C103" t="s">
        <v>1138</v>
      </c>
      <c r="D103">
        <v>-4.1396410000000001</v>
      </c>
      <c r="E103">
        <v>2.3900929999999998</v>
      </c>
      <c r="F103">
        <v>-1.7168110000000001</v>
      </c>
      <c r="G103" s="154">
        <v>3.9948860000000002</v>
      </c>
    </row>
    <row r="104" spans="1:7" x14ac:dyDescent="0.25">
      <c r="A104" t="s">
        <v>5</v>
      </c>
      <c r="B104" t="s">
        <v>290</v>
      </c>
      <c r="C104" t="s">
        <v>1139</v>
      </c>
      <c r="D104">
        <v>-3.1856819999999999</v>
      </c>
      <c r="E104">
        <v>1.8593249999999999</v>
      </c>
      <c r="F104">
        <v>-1.3169120000000001</v>
      </c>
      <c r="G104" s="154">
        <v>5.3277159999999997</v>
      </c>
    </row>
    <row r="105" spans="1:7" x14ac:dyDescent="0.25">
      <c r="A105" t="s">
        <v>5</v>
      </c>
      <c r="B105" t="s">
        <v>290</v>
      </c>
      <c r="C105" t="s">
        <v>1140</v>
      </c>
      <c r="D105">
        <v>-3.7582409999999999</v>
      </c>
      <c r="E105">
        <v>2.4195829999999998</v>
      </c>
      <c r="F105">
        <v>-1.336854</v>
      </c>
      <c r="G105" s="154">
        <v>5.8880939999999997</v>
      </c>
    </row>
    <row r="106" spans="1:7" x14ac:dyDescent="0.25">
      <c r="A106" t="s">
        <v>5</v>
      </c>
      <c r="B106" t="s">
        <v>290</v>
      </c>
      <c r="C106" t="s">
        <v>1141</v>
      </c>
      <c r="D106">
        <v>-3.991492</v>
      </c>
      <c r="E106">
        <v>2.2862269999999998</v>
      </c>
      <c r="F106">
        <v>-1.7011529999999999</v>
      </c>
      <c r="G106" s="154">
        <v>3.9737309999999999</v>
      </c>
    </row>
    <row r="107" spans="1:7" x14ac:dyDescent="0.25">
      <c r="A107" t="s">
        <v>5</v>
      </c>
      <c r="B107" t="s">
        <v>290</v>
      </c>
      <c r="C107" t="s">
        <v>1142</v>
      </c>
      <c r="D107">
        <v>-4.2014969999999998</v>
      </c>
      <c r="E107">
        <v>2.4801280000000001</v>
      </c>
      <c r="F107">
        <v>-1.712062</v>
      </c>
      <c r="G107" s="154">
        <v>4.5176540000000003</v>
      </c>
    </row>
    <row r="108" spans="1:7" x14ac:dyDescent="0.25">
      <c r="A108" t="s">
        <v>5</v>
      </c>
      <c r="B108" t="s">
        <v>290</v>
      </c>
      <c r="C108" t="s">
        <v>1143</v>
      </c>
      <c r="D108">
        <v>-3.1494339999999998</v>
      </c>
      <c r="E108">
        <v>2.0318040000000002</v>
      </c>
      <c r="F108">
        <v>-1.1059479999999999</v>
      </c>
      <c r="G108" s="154">
        <v>5.1487600000000002</v>
      </c>
    </row>
    <row r="109" spans="1:7" x14ac:dyDescent="0.25">
      <c r="A109" t="s">
        <v>5</v>
      </c>
      <c r="B109" t="s">
        <v>290</v>
      </c>
      <c r="C109" t="s">
        <v>1144</v>
      </c>
      <c r="D109">
        <v>-4.304252</v>
      </c>
      <c r="E109">
        <v>2.535749</v>
      </c>
      <c r="F109">
        <v>-1.760305</v>
      </c>
      <c r="G109" s="154">
        <v>3.6167950000000002</v>
      </c>
    </row>
    <row r="110" spans="1:7" x14ac:dyDescent="0.25">
      <c r="A110" t="s">
        <v>5</v>
      </c>
      <c r="B110" t="s">
        <v>290</v>
      </c>
      <c r="C110" t="s">
        <v>1145</v>
      </c>
      <c r="D110">
        <v>-3.343261</v>
      </c>
      <c r="E110">
        <v>2.180647</v>
      </c>
      <c r="F110">
        <v>-1.150552</v>
      </c>
      <c r="G110" s="154">
        <v>5.7476839999999996</v>
      </c>
    </row>
    <row r="111" spans="1:7" x14ac:dyDescent="0.25">
      <c r="A111" t="s">
        <v>5</v>
      </c>
      <c r="B111" t="s">
        <v>290</v>
      </c>
      <c r="C111" t="s">
        <v>1146</v>
      </c>
      <c r="D111">
        <v>-4.0875959999999996</v>
      </c>
      <c r="E111">
        <v>2.2810440000000001</v>
      </c>
      <c r="F111">
        <v>-1.7924739999999999</v>
      </c>
      <c r="G111" s="154">
        <v>3.7896960000000002</v>
      </c>
    </row>
    <row r="112" spans="1:7" x14ac:dyDescent="0.25">
      <c r="A112" t="s">
        <v>162</v>
      </c>
      <c r="B112" t="s">
        <v>298</v>
      </c>
      <c r="C112" t="s">
        <v>1147</v>
      </c>
      <c r="D112">
        <v>-3.5360179999999999</v>
      </c>
      <c r="E112">
        <v>2.8640110000000001</v>
      </c>
      <c r="F112">
        <v>-0.67200689999999996</v>
      </c>
      <c r="G112" s="154">
        <v>10.76943</v>
      </c>
    </row>
    <row r="113" spans="1:7" x14ac:dyDescent="0.25">
      <c r="A113" t="s">
        <v>162</v>
      </c>
      <c r="B113" t="s">
        <v>298</v>
      </c>
      <c r="C113" t="s">
        <v>1148</v>
      </c>
      <c r="D113">
        <v>-3.5991469999999999</v>
      </c>
      <c r="E113">
        <v>2.7759580000000001</v>
      </c>
      <c r="F113">
        <v>-0.82318840000000004</v>
      </c>
      <c r="G113" s="154">
        <v>10.96271</v>
      </c>
    </row>
    <row r="114" spans="1:7" x14ac:dyDescent="0.25">
      <c r="A114" t="s">
        <v>162</v>
      </c>
      <c r="B114" t="s">
        <v>298</v>
      </c>
      <c r="C114" t="s">
        <v>1149</v>
      </c>
      <c r="D114">
        <v>-3.9498000000000002</v>
      </c>
      <c r="E114">
        <v>3.1855760000000002</v>
      </c>
      <c r="F114">
        <v>-0.76422299999999999</v>
      </c>
      <c r="G114" s="154">
        <v>10.23082</v>
      </c>
    </row>
    <row r="115" spans="1:7" x14ac:dyDescent="0.25">
      <c r="A115" t="s">
        <v>162</v>
      </c>
      <c r="B115" t="s">
        <v>298</v>
      </c>
      <c r="C115" t="s">
        <v>1150</v>
      </c>
      <c r="D115">
        <v>-3.8492850000000001</v>
      </c>
      <c r="E115">
        <v>2.9483999999999999</v>
      </c>
      <c r="F115">
        <v>-0.9008853</v>
      </c>
      <c r="G115" s="154">
        <v>10.2143</v>
      </c>
    </row>
    <row r="116" spans="1:7" x14ac:dyDescent="0.25">
      <c r="A116" t="s">
        <v>162</v>
      </c>
      <c r="B116" t="s">
        <v>298</v>
      </c>
      <c r="C116" t="s">
        <v>1151</v>
      </c>
      <c r="D116">
        <v>-3.8995609999999998</v>
      </c>
      <c r="E116">
        <v>2.8776649999999999</v>
      </c>
      <c r="F116">
        <v>-1.0218959999999999</v>
      </c>
      <c r="G116" s="154">
        <v>9.8395770000000002</v>
      </c>
    </row>
    <row r="117" spans="1:7" x14ac:dyDescent="0.25">
      <c r="A117" t="s">
        <v>162</v>
      </c>
      <c r="B117" t="s">
        <v>298</v>
      </c>
      <c r="C117" t="s">
        <v>1152</v>
      </c>
      <c r="D117">
        <v>-4.3037489999999998</v>
      </c>
      <c r="E117">
        <v>3.3120349999999998</v>
      </c>
      <c r="F117">
        <v>-0.99171410000000004</v>
      </c>
      <c r="G117" s="154">
        <v>10.431039999999999</v>
      </c>
    </row>
    <row r="118" spans="1:7" x14ac:dyDescent="0.25">
      <c r="A118" t="s">
        <v>162</v>
      </c>
      <c r="B118" t="s">
        <v>298</v>
      </c>
      <c r="C118" t="s">
        <v>1153</v>
      </c>
      <c r="D118">
        <v>-3.9420109999999999</v>
      </c>
      <c r="E118">
        <v>3.0573800000000002</v>
      </c>
      <c r="F118">
        <v>-0.88463159999999996</v>
      </c>
      <c r="G118" s="154">
        <v>10.43853</v>
      </c>
    </row>
    <row r="119" spans="1:7" x14ac:dyDescent="0.25">
      <c r="A119" t="s">
        <v>162</v>
      </c>
      <c r="B119" t="s">
        <v>298</v>
      </c>
      <c r="C119" t="s">
        <v>1154</v>
      </c>
      <c r="D119">
        <v>-3.8724159999999999</v>
      </c>
      <c r="E119">
        <v>3.0600619999999998</v>
      </c>
      <c r="F119">
        <v>-0.81235469999999999</v>
      </c>
      <c r="G119" s="154">
        <v>10.92234</v>
      </c>
    </row>
    <row r="120" spans="1:7" x14ac:dyDescent="0.25">
      <c r="A120" t="s">
        <v>162</v>
      </c>
      <c r="B120" t="s">
        <v>298</v>
      </c>
      <c r="C120" t="s">
        <v>1155</v>
      </c>
      <c r="D120">
        <v>-3.8249059999999999</v>
      </c>
      <c r="E120">
        <v>3.0087549999999998</v>
      </c>
      <c r="F120">
        <v>-0.8161505</v>
      </c>
      <c r="G120" s="154">
        <v>10.21294</v>
      </c>
    </row>
    <row r="121" spans="1:7" x14ac:dyDescent="0.25">
      <c r="A121" t="s">
        <v>162</v>
      </c>
      <c r="B121" t="s">
        <v>298</v>
      </c>
      <c r="C121" t="s">
        <v>1156</v>
      </c>
      <c r="D121">
        <v>-3.830543</v>
      </c>
      <c r="E121">
        <v>2.975317</v>
      </c>
      <c r="F121">
        <v>-0.85522620000000005</v>
      </c>
      <c r="G121" s="154">
        <v>10.6563</v>
      </c>
    </row>
    <row r="122" spans="1:7" x14ac:dyDescent="0.25">
      <c r="A122" t="s">
        <v>162</v>
      </c>
      <c r="B122" t="s">
        <v>298</v>
      </c>
      <c r="C122" t="s">
        <v>1157</v>
      </c>
      <c r="D122">
        <v>-3.8193069999999998</v>
      </c>
      <c r="E122">
        <v>2.984766</v>
      </c>
      <c r="F122">
        <v>-0.83454050000000002</v>
      </c>
      <c r="G122" s="154">
        <v>10.07968</v>
      </c>
    </row>
    <row r="123" spans="1:7" x14ac:dyDescent="0.25">
      <c r="A123" t="s">
        <v>162</v>
      </c>
      <c r="B123" t="s">
        <v>298</v>
      </c>
      <c r="C123" t="s">
        <v>1158</v>
      </c>
      <c r="D123">
        <v>-3.370733</v>
      </c>
      <c r="E123">
        <v>2.88096</v>
      </c>
      <c r="F123">
        <v>-0.48977270000000001</v>
      </c>
      <c r="G123" s="154">
        <v>11.154669999999999</v>
      </c>
    </row>
    <row r="124" spans="1:7" x14ac:dyDescent="0.25">
      <c r="A124" t="s">
        <v>172</v>
      </c>
      <c r="B124" t="s">
        <v>428</v>
      </c>
      <c r="C124" t="s">
        <v>1159</v>
      </c>
      <c r="D124">
        <v>-2.9378639999999998</v>
      </c>
      <c r="E124">
        <v>1.965354</v>
      </c>
      <c r="F124">
        <v>-0.97251050000000006</v>
      </c>
      <c r="G124" s="154">
        <v>12.011100000000001</v>
      </c>
    </row>
    <row r="125" spans="1:7" x14ac:dyDescent="0.25">
      <c r="A125" t="s">
        <v>172</v>
      </c>
      <c r="B125" t="s">
        <v>428</v>
      </c>
      <c r="C125" t="s">
        <v>1160</v>
      </c>
      <c r="D125">
        <v>-2.940715</v>
      </c>
      <c r="E125">
        <v>1.930375</v>
      </c>
      <c r="F125">
        <v>-1.01034</v>
      </c>
      <c r="G125" s="154">
        <v>12.011100000000001</v>
      </c>
    </row>
    <row r="126" spans="1:7" x14ac:dyDescent="0.25">
      <c r="A126" t="s">
        <v>172</v>
      </c>
      <c r="B126" t="s">
        <v>428</v>
      </c>
      <c r="C126" t="s">
        <v>1161</v>
      </c>
      <c r="D126">
        <v>-3.090649</v>
      </c>
      <c r="E126">
        <v>2.2630300000000001</v>
      </c>
      <c r="F126">
        <v>-0.82761890000000005</v>
      </c>
      <c r="G126" s="154">
        <v>12.3598</v>
      </c>
    </row>
    <row r="127" spans="1:7" x14ac:dyDescent="0.25">
      <c r="A127" t="s">
        <v>172</v>
      </c>
      <c r="B127" t="s">
        <v>428</v>
      </c>
      <c r="C127" t="s">
        <v>1162</v>
      </c>
      <c r="D127">
        <v>-3.0668920000000002</v>
      </c>
      <c r="E127">
        <v>2.3734519999999999</v>
      </c>
      <c r="F127">
        <v>-0.69343949999999999</v>
      </c>
      <c r="G127" s="154">
        <v>12.304500000000001</v>
      </c>
    </row>
    <row r="128" spans="1:7" x14ac:dyDescent="0.25">
      <c r="A128" t="s">
        <v>172</v>
      </c>
      <c r="B128" t="s">
        <v>428</v>
      </c>
      <c r="C128" t="s">
        <v>1163</v>
      </c>
      <c r="D128">
        <v>-3.1324109999999998</v>
      </c>
      <c r="E128">
        <v>2.301831</v>
      </c>
      <c r="F128">
        <v>-0.83058030000000005</v>
      </c>
      <c r="G128" s="154">
        <v>12.6</v>
      </c>
    </row>
    <row r="129" spans="1:7" x14ac:dyDescent="0.25">
      <c r="A129" t="s">
        <v>172</v>
      </c>
      <c r="B129" t="s">
        <v>428</v>
      </c>
      <c r="C129" t="s">
        <v>1164</v>
      </c>
      <c r="D129">
        <v>-2.865923</v>
      </c>
      <c r="E129">
        <v>2.6764830000000002</v>
      </c>
      <c r="F129">
        <v>-0.18943989999999999</v>
      </c>
      <c r="G129" s="154">
        <v>12.756500000000001</v>
      </c>
    </row>
    <row r="130" spans="1:7" x14ac:dyDescent="0.25">
      <c r="A130" t="s">
        <v>172</v>
      </c>
      <c r="B130" t="s">
        <v>428</v>
      </c>
      <c r="C130" t="s">
        <v>1165</v>
      </c>
      <c r="D130">
        <v>-3.1532589999999998</v>
      </c>
      <c r="E130">
        <v>2.224351</v>
      </c>
      <c r="F130">
        <v>-0.92890790000000001</v>
      </c>
      <c r="G130" s="154">
        <v>12.1587</v>
      </c>
    </row>
    <row r="131" spans="1:7" x14ac:dyDescent="0.25">
      <c r="A131" t="s">
        <v>172</v>
      </c>
      <c r="B131" t="s">
        <v>428</v>
      </c>
      <c r="C131" t="s">
        <v>1166</v>
      </c>
      <c r="D131">
        <v>-2.964483</v>
      </c>
      <c r="E131">
        <v>2.412477</v>
      </c>
      <c r="F131">
        <v>-0.5520062</v>
      </c>
      <c r="G131" s="154">
        <v>12.845000000000001</v>
      </c>
    </row>
    <row r="132" spans="1:7" x14ac:dyDescent="0.25">
      <c r="A132" t="s">
        <v>172</v>
      </c>
      <c r="B132" t="s">
        <v>428</v>
      </c>
      <c r="C132" t="s">
        <v>1167</v>
      </c>
      <c r="D132">
        <v>-2.9620009999999999</v>
      </c>
      <c r="E132">
        <v>2.1363850000000002</v>
      </c>
      <c r="F132">
        <v>-0.82561600000000002</v>
      </c>
      <c r="G132" s="154">
        <v>12.1008</v>
      </c>
    </row>
    <row r="133" spans="1:7" x14ac:dyDescent="0.25">
      <c r="A133" t="s">
        <v>172</v>
      </c>
      <c r="B133" t="s">
        <v>428</v>
      </c>
      <c r="C133" t="s">
        <v>1168</v>
      </c>
      <c r="D133">
        <v>-2.7791600000000001</v>
      </c>
      <c r="E133">
        <v>2.060263</v>
      </c>
      <c r="F133">
        <v>-0.71889639999999999</v>
      </c>
      <c r="G133" s="154">
        <v>12.145899999999999</v>
      </c>
    </row>
    <row r="134" spans="1:7" x14ac:dyDescent="0.25">
      <c r="A134" t="s">
        <v>172</v>
      </c>
      <c r="B134" t="s">
        <v>428</v>
      </c>
      <c r="C134" t="s">
        <v>1169</v>
      </c>
      <c r="D134">
        <v>-3.0000300000000002</v>
      </c>
      <c r="E134">
        <v>2.1824129999999999</v>
      </c>
      <c r="F134">
        <v>-0.81761740000000005</v>
      </c>
      <c r="G134" s="154">
        <v>12.0458</v>
      </c>
    </row>
    <row r="135" spans="1:7" x14ac:dyDescent="0.25">
      <c r="A135" t="s">
        <v>172</v>
      </c>
      <c r="B135" t="s">
        <v>428</v>
      </c>
      <c r="C135" t="s">
        <v>1170</v>
      </c>
      <c r="D135">
        <v>-3.1161219999999998</v>
      </c>
      <c r="E135">
        <v>2.3690229999999999</v>
      </c>
      <c r="F135">
        <v>-0.74709840000000005</v>
      </c>
      <c r="G135" s="154">
        <v>12.393599999999999</v>
      </c>
    </row>
    <row r="136" spans="1:7" x14ac:dyDescent="0.25">
      <c r="A136" t="s">
        <v>172</v>
      </c>
      <c r="B136" t="s">
        <v>428</v>
      </c>
      <c r="C136" t="s">
        <v>1171</v>
      </c>
      <c r="D136">
        <v>-3.0294539999999999</v>
      </c>
      <c r="E136">
        <v>2.290416</v>
      </c>
      <c r="F136">
        <v>-0.73903700000000005</v>
      </c>
      <c r="G136" s="154">
        <v>12.450200000000001</v>
      </c>
    </row>
    <row r="137" spans="1:7" x14ac:dyDescent="0.25">
      <c r="A137" t="s">
        <v>172</v>
      </c>
      <c r="B137" t="s">
        <v>428</v>
      </c>
      <c r="C137" t="s">
        <v>1172</v>
      </c>
      <c r="D137">
        <v>-3.0448059999999999</v>
      </c>
      <c r="E137">
        <v>2.1852510000000001</v>
      </c>
      <c r="F137">
        <v>-0.85955479999999995</v>
      </c>
      <c r="G137" s="154">
        <v>12.606999999999999</v>
      </c>
    </row>
    <row r="138" spans="1:7" x14ac:dyDescent="0.25">
      <c r="A138" t="s">
        <v>172</v>
      </c>
      <c r="B138" t="s">
        <v>428</v>
      </c>
      <c r="C138" t="s">
        <v>1173</v>
      </c>
      <c r="D138">
        <v>-2.999368</v>
      </c>
      <c r="E138">
        <v>2.2886929999999999</v>
      </c>
      <c r="F138">
        <v>-0.71067480000000005</v>
      </c>
      <c r="G138" s="154">
        <v>12.2288</v>
      </c>
    </row>
    <row r="139" spans="1:7" x14ac:dyDescent="0.25">
      <c r="A139" t="s">
        <v>172</v>
      </c>
      <c r="B139" t="s">
        <v>428</v>
      </c>
      <c r="C139" t="s">
        <v>1174</v>
      </c>
      <c r="D139">
        <v>-2.9908009999999998</v>
      </c>
      <c r="E139">
        <v>2.2544580000000001</v>
      </c>
      <c r="F139">
        <v>-0.73634270000000002</v>
      </c>
      <c r="G139" s="154">
        <v>12.2829</v>
      </c>
    </row>
    <row r="140" spans="1:7" x14ac:dyDescent="0.25">
      <c r="A140" t="s">
        <v>172</v>
      </c>
      <c r="B140" t="s">
        <v>428</v>
      </c>
      <c r="C140" t="s">
        <v>1175</v>
      </c>
      <c r="D140">
        <v>-3.1440160000000001</v>
      </c>
      <c r="E140">
        <v>1.974674</v>
      </c>
      <c r="F140">
        <v>-1.1693420000000001</v>
      </c>
      <c r="G140" s="154">
        <v>12.0535</v>
      </c>
    </row>
    <row r="141" spans="1:7" x14ac:dyDescent="0.25">
      <c r="A141" t="s">
        <v>172</v>
      </c>
      <c r="B141" t="s">
        <v>428</v>
      </c>
      <c r="C141" t="s">
        <v>1176</v>
      </c>
      <c r="D141">
        <v>-3.1187900000000002</v>
      </c>
      <c r="E141">
        <v>2.3061660000000002</v>
      </c>
      <c r="F141">
        <v>-0.81262400000000001</v>
      </c>
      <c r="G141" s="154">
        <v>12.317</v>
      </c>
    </row>
    <row r="142" spans="1:7" x14ac:dyDescent="0.25">
      <c r="A142" t="s">
        <v>172</v>
      </c>
      <c r="B142" t="s">
        <v>428</v>
      </c>
      <c r="C142" t="s">
        <v>1177</v>
      </c>
      <c r="D142">
        <v>-2.8154349999999999</v>
      </c>
      <c r="E142">
        <v>2.143519</v>
      </c>
      <c r="F142">
        <v>-0.67191670000000003</v>
      </c>
      <c r="G142" s="154">
        <v>12.1402</v>
      </c>
    </row>
    <row r="143" spans="1:7" x14ac:dyDescent="0.25">
      <c r="A143" t="s">
        <v>172</v>
      </c>
      <c r="B143" t="s">
        <v>428</v>
      </c>
      <c r="C143" t="s">
        <v>1178</v>
      </c>
      <c r="D143">
        <v>-3.0150969999999999</v>
      </c>
      <c r="E143">
        <v>2.129902</v>
      </c>
      <c r="F143">
        <v>-0.88519530000000002</v>
      </c>
      <c r="G143" s="154">
        <v>12.118499999999999</v>
      </c>
    </row>
    <row r="144" spans="1:7" x14ac:dyDescent="0.25">
      <c r="A144" t="s">
        <v>172</v>
      </c>
      <c r="B144" t="s">
        <v>428</v>
      </c>
      <c r="C144" t="s">
        <v>1179</v>
      </c>
      <c r="D144">
        <v>-3.2121249999999999</v>
      </c>
      <c r="E144">
        <v>2.2880929999999999</v>
      </c>
      <c r="F144">
        <v>-0.92403199999999996</v>
      </c>
      <c r="G144" s="154">
        <v>12.2033</v>
      </c>
    </row>
    <row r="145" spans="1:7" x14ac:dyDescent="0.25">
      <c r="A145" t="s">
        <v>172</v>
      </c>
      <c r="B145" t="s">
        <v>428</v>
      </c>
      <c r="C145" t="s">
        <v>1180</v>
      </c>
      <c r="D145">
        <v>-2.9700510000000002</v>
      </c>
      <c r="E145">
        <v>2.0999970000000001</v>
      </c>
      <c r="F145">
        <v>-0.87005359999999998</v>
      </c>
      <c r="G145" s="154">
        <v>12.033799999999999</v>
      </c>
    </row>
    <row r="146" spans="1:7" x14ac:dyDescent="0.25">
      <c r="A146" t="s">
        <v>172</v>
      </c>
      <c r="B146" t="s">
        <v>428</v>
      </c>
      <c r="C146" t="s">
        <v>1181</v>
      </c>
      <c r="D146">
        <v>-3.0616340000000002</v>
      </c>
      <c r="E146">
        <v>2.2630720000000002</v>
      </c>
      <c r="F146">
        <v>-0.79856260000000001</v>
      </c>
      <c r="G146" s="154">
        <v>12.456899999999999</v>
      </c>
    </row>
    <row r="147" spans="1:7" x14ac:dyDescent="0.25">
      <c r="A147" t="s">
        <v>172</v>
      </c>
      <c r="B147" t="s">
        <v>428</v>
      </c>
      <c r="C147" t="s">
        <v>1182</v>
      </c>
      <c r="D147">
        <v>-2.4638010000000001</v>
      </c>
      <c r="E147">
        <v>2.0520269999999998</v>
      </c>
      <c r="F147">
        <v>-0.41177459999999999</v>
      </c>
      <c r="G147" s="154">
        <v>12.6557</v>
      </c>
    </row>
    <row r="148" spans="1:7" x14ac:dyDescent="0.25">
      <c r="A148" t="s">
        <v>172</v>
      </c>
      <c r="B148" t="s">
        <v>428</v>
      </c>
      <c r="C148" t="s">
        <v>1183</v>
      </c>
      <c r="D148">
        <v>-2.9358439999999999</v>
      </c>
      <c r="E148">
        <v>2.3800059999999998</v>
      </c>
      <c r="F148">
        <v>-0.55583830000000001</v>
      </c>
      <c r="G148" s="154">
        <v>12.693300000000001</v>
      </c>
    </row>
    <row r="149" spans="1:7" x14ac:dyDescent="0.25">
      <c r="A149" t="s">
        <v>91</v>
      </c>
      <c r="B149" t="s">
        <v>304</v>
      </c>
      <c r="C149" t="s">
        <v>1184</v>
      </c>
      <c r="D149">
        <v>-6.6059700000000001</v>
      </c>
      <c r="E149">
        <v>3.3824380000000001</v>
      </c>
      <c r="F149">
        <v>-11.468730000000001</v>
      </c>
      <c r="G149" s="154">
        <v>5.1060800000000004</v>
      </c>
    </row>
    <row r="150" spans="1:7" x14ac:dyDescent="0.25">
      <c r="A150" t="s">
        <v>91</v>
      </c>
      <c r="B150" t="s">
        <v>304</v>
      </c>
      <c r="C150" t="s">
        <v>1185</v>
      </c>
      <c r="D150">
        <v>-4.3328490000000004</v>
      </c>
      <c r="E150">
        <v>3.3201109999999998</v>
      </c>
      <c r="F150">
        <v>-9.9832160000000005</v>
      </c>
      <c r="G150" s="154">
        <v>8.7604570000000006</v>
      </c>
    </row>
    <row r="151" spans="1:7" x14ac:dyDescent="0.25">
      <c r="A151" t="s">
        <v>91</v>
      </c>
      <c r="B151" t="s">
        <v>304</v>
      </c>
      <c r="C151" t="s">
        <v>1186</v>
      </c>
      <c r="D151">
        <v>-6.4447190000000001</v>
      </c>
      <c r="E151">
        <v>3.461128</v>
      </c>
      <c r="F151">
        <v>-11.235910000000001</v>
      </c>
      <c r="G151" s="154">
        <v>5.537077</v>
      </c>
    </row>
    <row r="152" spans="1:7" x14ac:dyDescent="0.25">
      <c r="A152" t="s">
        <v>91</v>
      </c>
      <c r="B152" t="s">
        <v>304</v>
      </c>
      <c r="C152" t="s">
        <v>1187</v>
      </c>
      <c r="D152">
        <v>-5.8433169999999999</v>
      </c>
      <c r="E152">
        <v>3.447765</v>
      </c>
      <c r="F152">
        <v>-10.877700000000001</v>
      </c>
      <c r="G152" s="154">
        <v>5.6293259999999998</v>
      </c>
    </row>
    <row r="153" spans="1:7" x14ac:dyDescent="0.25">
      <c r="A153" t="s">
        <v>91</v>
      </c>
      <c r="B153" t="s">
        <v>304</v>
      </c>
      <c r="C153" t="s">
        <v>1188</v>
      </c>
      <c r="D153">
        <v>-6.6833929999999997</v>
      </c>
      <c r="E153">
        <v>3.192987</v>
      </c>
      <c r="F153">
        <v>-11.34808</v>
      </c>
      <c r="G153" s="154">
        <v>5.1748339999999997</v>
      </c>
    </row>
    <row r="154" spans="1:7" x14ac:dyDescent="0.25">
      <c r="A154" t="s">
        <v>91</v>
      </c>
      <c r="B154" t="s">
        <v>304</v>
      </c>
      <c r="C154" t="s">
        <v>1189</v>
      </c>
      <c r="D154">
        <v>-5.6851589999999996</v>
      </c>
      <c r="E154">
        <v>3.7550970000000001</v>
      </c>
      <c r="F154">
        <v>-10.646369999999999</v>
      </c>
      <c r="G154" s="154">
        <v>6.2114900000000004</v>
      </c>
    </row>
    <row r="155" spans="1:7" x14ac:dyDescent="0.25">
      <c r="A155" t="s">
        <v>91</v>
      </c>
      <c r="B155" t="s">
        <v>304</v>
      </c>
      <c r="C155" t="s">
        <v>1190</v>
      </c>
      <c r="D155">
        <v>-6.8033190000000001</v>
      </c>
      <c r="E155">
        <v>3.1104970000000001</v>
      </c>
      <c r="F155">
        <v>-11.58943</v>
      </c>
      <c r="G155" s="154">
        <v>5.5942550000000004</v>
      </c>
    </row>
    <row r="156" spans="1:7" x14ac:dyDescent="0.25">
      <c r="A156" t="s">
        <v>91</v>
      </c>
      <c r="B156" t="s">
        <v>304</v>
      </c>
      <c r="C156" t="s">
        <v>1191</v>
      </c>
      <c r="D156">
        <v>-7.1959010000000001</v>
      </c>
      <c r="E156">
        <v>3.1759680000000001</v>
      </c>
      <c r="F156">
        <v>-11.778930000000001</v>
      </c>
      <c r="G156" s="154">
        <v>4.8024829999999996</v>
      </c>
    </row>
    <row r="157" spans="1:7" x14ac:dyDescent="0.25">
      <c r="A157" t="s">
        <v>91</v>
      </c>
      <c r="B157" t="s">
        <v>304</v>
      </c>
      <c r="C157" t="s">
        <v>1192</v>
      </c>
      <c r="D157">
        <v>-6.3581329999999996</v>
      </c>
      <c r="E157">
        <v>3.2479089999999999</v>
      </c>
      <c r="F157">
        <v>-11.46439</v>
      </c>
      <c r="G157" s="154">
        <v>5.9753619999999996</v>
      </c>
    </row>
    <row r="158" spans="1:7" x14ac:dyDescent="0.25">
      <c r="A158" t="s">
        <v>91</v>
      </c>
      <c r="B158" t="s">
        <v>304</v>
      </c>
      <c r="C158" t="s">
        <v>1193</v>
      </c>
      <c r="D158">
        <v>-6.4563480000000002</v>
      </c>
      <c r="E158">
        <v>3.6226370000000001</v>
      </c>
      <c r="F158">
        <v>-11.169230000000001</v>
      </c>
      <c r="G158" s="154">
        <v>5.8503249999999998</v>
      </c>
    </row>
    <row r="159" spans="1:7" x14ac:dyDescent="0.25">
      <c r="A159" t="s">
        <v>91</v>
      </c>
      <c r="B159" t="s">
        <v>304</v>
      </c>
      <c r="C159" t="s">
        <v>1194</v>
      </c>
      <c r="D159">
        <v>-6.4865259999999996</v>
      </c>
      <c r="E159">
        <v>3.5212680000000001</v>
      </c>
      <c r="F159">
        <v>-11.199769999999999</v>
      </c>
      <c r="G159" s="154">
        <v>6.2060760000000004</v>
      </c>
    </row>
    <row r="160" spans="1:7" x14ac:dyDescent="0.25">
      <c r="A160" t="s">
        <v>91</v>
      </c>
      <c r="B160" t="s">
        <v>304</v>
      </c>
      <c r="C160" t="s">
        <v>1195</v>
      </c>
      <c r="D160">
        <v>-6.523269</v>
      </c>
      <c r="E160">
        <v>3.4969009999999998</v>
      </c>
      <c r="F160">
        <v>-11.259639999999999</v>
      </c>
      <c r="G160" s="154">
        <v>5.6638409999999997</v>
      </c>
    </row>
    <row r="161" spans="1:7" x14ac:dyDescent="0.25">
      <c r="A161" t="s">
        <v>91</v>
      </c>
      <c r="B161" t="s">
        <v>304</v>
      </c>
      <c r="C161" t="s">
        <v>1196</v>
      </c>
      <c r="D161">
        <v>-6.7398189999999998</v>
      </c>
      <c r="E161">
        <v>3.4610759999999998</v>
      </c>
      <c r="F161">
        <v>-11.354810000000001</v>
      </c>
      <c r="G161" s="154">
        <v>5.7712859999999999</v>
      </c>
    </row>
    <row r="162" spans="1:7" x14ac:dyDescent="0.25">
      <c r="A162" t="s">
        <v>91</v>
      </c>
      <c r="B162" t="s">
        <v>304</v>
      </c>
      <c r="C162" t="s">
        <v>1197</v>
      </c>
      <c r="D162">
        <v>-6.7433019999999999</v>
      </c>
      <c r="E162">
        <v>3.359645</v>
      </c>
      <c r="F162">
        <v>-11.37201</v>
      </c>
      <c r="G162" s="154">
        <v>5.8814500000000001</v>
      </c>
    </row>
    <row r="163" spans="1:7" x14ac:dyDescent="0.25">
      <c r="A163" t="s">
        <v>91</v>
      </c>
      <c r="B163" t="s">
        <v>304</v>
      </c>
      <c r="C163" t="s">
        <v>1198</v>
      </c>
      <c r="D163">
        <v>-6.6592149999999997</v>
      </c>
      <c r="E163">
        <v>3.4097140000000001</v>
      </c>
      <c r="F163">
        <v>-11.27603</v>
      </c>
      <c r="G163" s="154">
        <v>6.18241</v>
      </c>
    </row>
    <row r="164" spans="1:7" x14ac:dyDescent="0.25">
      <c r="A164" t="s">
        <v>91</v>
      </c>
      <c r="B164" t="s">
        <v>304</v>
      </c>
      <c r="C164" t="s">
        <v>1199</v>
      </c>
      <c r="D164">
        <v>-5.4058630000000001</v>
      </c>
      <c r="E164">
        <v>3.6379350000000001</v>
      </c>
      <c r="F164">
        <v>-10.60356</v>
      </c>
      <c r="G164" s="154">
        <v>6.0528240000000002</v>
      </c>
    </row>
    <row r="165" spans="1:7" x14ac:dyDescent="0.25">
      <c r="A165" t="s">
        <v>91</v>
      </c>
      <c r="B165" t="s">
        <v>304</v>
      </c>
      <c r="C165" t="s">
        <v>1200</v>
      </c>
      <c r="D165">
        <v>-6.6048390000000001</v>
      </c>
      <c r="E165">
        <v>3.3386819999999999</v>
      </c>
      <c r="F165">
        <v>-11.393520000000001</v>
      </c>
      <c r="G165" s="154">
        <v>5.5628729999999997</v>
      </c>
    </row>
    <row r="166" spans="1:7" x14ac:dyDescent="0.25">
      <c r="A166" t="s">
        <v>91</v>
      </c>
      <c r="B166" t="s">
        <v>304</v>
      </c>
      <c r="C166" t="s">
        <v>1201</v>
      </c>
      <c r="D166">
        <v>-6.4220290000000002</v>
      </c>
      <c r="E166">
        <v>3.5464690000000001</v>
      </c>
      <c r="F166">
        <v>-11.18887</v>
      </c>
      <c r="G166" s="154">
        <v>6.2697370000000001</v>
      </c>
    </row>
    <row r="167" spans="1:7" x14ac:dyDescent="0.25">
      <c r="A167" t="s">
        <v>91</v>
      </c>
      <c r="B167" t="s">
        <v>304</v>
      </c>
      <c r="C167" t="s">
        <v>1202</v>
      </c>
      <c r="D167">
        <v>-5.6651939999999996</v>
      </c>
      <c r="E167">
        <v>3.4496519999999999</v>
      </c>
      <c r="F167">
        <v>-10.83738</v>
      </c>
      <c r="G167" s="154">
        <v>6.4179760000000003</v>
      </c>
    </row>
    <row r="168" spans="1:7" x14ac:dyDescent="0.25">
      <c r="A168" t="s">
        <v>91</v>
      </c>
      <c r="B168" t="s">
        <v>304</v>
      </c>
      <c r="C168" t="s">
        <v>1203</v>
      </c>
      <c r="D168">
        <v>-6.1073209999999998</v>
      </c>
      <c r="E168">
        <v>3.235843</v>
      </c>
      <c r="F168">
        <v>-11.138030000000001</v>
      </c>
      <c r="G168" s="154">
        <v>5.5867709999999997</v>
      </c>
    </row>
    <row r="169" spans="1:7" x14ac:dyDescent="0.25">
      <c r="A169" t="s">
        <v>91</v>
      </c>
      <c r="B169" t="s">
        <v>304</v>
      </c>
      <c r="C169" t="s">
        <v>1204</v>
      </c>
      <c r="D169">
        <v>-6.4961919999999997</v>
      </c>
      <c r="E169">
        <v>3.1591360000000002</v>
      </c>
      <c r="F169">
        <v>-11.135759999999999</v>
      </c>
      <c r="G169" s="154">
        <v>5.2316989999999999</v>
      </c>
    </row>
    <row r="170" spans="1:7" x14ac:dyDescent="0.25">
      <c r="A170" t="s">
        <v>91</v>
      </c>
      <c r="B170" t="s">
        <v>304</v>
      </c>
      <c r="C170" t="s">
        <v>1205</v>
      </c>
      <c r="D170">
        <v>-6.3578840000000003</v>
      </c>
      <c r="E170">
        <v>3.1991000000000001</v>
      </c>
      <c r="F170">
        <v>-11.25103</v>
      </c>
      <c r="G170" s="154">
        <v>5.9881960000000003</v>
      </c>
    </row>
    <row r="171" spans="1:7" x14ac:dyDescent="0.25">
      <c r="A171" t="s">
        <v>91</v>
      </c>
      <c r="B171" t="s">
        <v>304</v>
      </c>
      <c r="C171" t="s">
        <v>1206</v>
      </c>
      <c r="D171">
        <v>-6.007212</v>
      </c>
      <c r="E171">
        <v>3.5808230000000001</v>
      </c>
      <c r="F171">
        <v>-10.84712</v>
      </c>
      <c r="G171" s="154">
        <v>5.5884749999999999</v>
      </c>
    </row>
    <row r="172" spans="1:7" x14ac:dyDescent="0.25">
      <c r="A172" t="s">
        <v>91</v>
      </c>
      <c r="B172" t="s">
        <v>304</v>
      </c>
      <c r="C172" t="s">
        <v>1207</v>
      </c>
      <c r="D172">
        <v>-4.0361659999999997</v>
      </c>
      <c r="E172">
        <v>3.1318190000000001</v>
      </c>
      <c r="F172">
        <v>-9.869631</v>
      </c>
      <c r="G172" s="154">
        <v>8.0044970000000006</v>
      </c>
    </row>
    <row r="173" spans="1:7" x14ac:dyDescent="0.25">
      <c r="A173" t="s">
        <v>91</v>
      </c>
      <c r="B173" t="s">
        <v>304</v>
      </c>
      <c r="C173" t="s">
        <v>1208</v>
      </c>
      <c r="D173">
        <v>-6.2541789999999997</v>
      </c>
      <c r="E173">
        <v>3.4400599999999999</v>
      </c>
      <c r="F173">
        <v>-10.84998</v>
      </c>
      <c r="G173" s="154">
        <v>6.0800539999999996</v>
      </c>
    </row>
    <row r="174" spans="1:7" x14ac:dyDescent="0.25">
      <c r="A174" t="s">
        <v>91</v>
      </c>
      <c r="B174" t="s">
        <v>304</v>
      </c>
      <c r="C174" t="s">
        <v>1209</v>
      </c>
      <c r="D174">
        <v>-6.6390200000000004</v>
      </c>
      <c r="E174">
        <v>3.306718</v>
      </c>
      <c r="F174">
        <v>-11.462429999999999</v>
      </c>
      <c r="G174" s="154">
        <v>5.0691980000000001</v>
      </c>
    </row>
    <row r="175" spans="1:7" x14ac:dyDescent="0.25">
      <c r="A175" t="s">
        <v>91</v>
      </c>
      <c r="B175" t="s">
        <v>304</v>
      </c>
      <c r="C175" t="s">
        <v>1210</v>
      </c>
      <c r="D175">
        <v>-4.888611</v>
      </c>
      <c r="E175">
        <v>3.4677920000000002</v>
      </c>
      <c r="F175">
        <v>-10.33052</v>
      </c>
      <c r="G175" s="154">
        <v>7.4247209999999999</v>
      </c>
    </row>
    <row r="176" spans="1:7" x14ac:dyDescent="0.25">
      <c r="A176" t="s">
        <v>91</v>
      </c>
      <c r="B176" t="s">
        <v>304</v>
      </c>
      <c r="C176" t="s">
        <v>1211</v>
      </c>
      <c r="D176">
        <v>-7.5494050000000001</v>
      </c>
      <c r="E176">
        <v>2.6818339999999998</v>
      </c>
      <c r="F176">
        <v>-11.597340000000001</v>
      </c>
      <c r="G176" s="154">
        <v>2.9391600000000002</v>
      </c>
    </row>
    <row r="177" spans="1:7" x14ac:dyDescent="0.25">
      <c r="A177" t="s">
        <v>91</v>
      </c>
      <c r="B177" t="s">
        <v>304</v>
      </c>
      <c r="C177" t="s">
        <v>1212</v>
      </c>
      <c r="D177">
        <v>-6.5645009999999999</v>
      </c>
      <c r="E177">
        <v>3.0877919999999999</v>
      </c>
      <c r="F177">
        <v>-11.321580000000001</v>
      </c>
      <c r="G177" s="154">
        <v>6.2031470000000004</v>
      </c>
    </row>
    <row r="178" spans="1:7" x14ac:dyDescent="0.25">
      <c r="A178" t="s">
        <v>91</v>
      </c>
      <c r="B178" t="s">
        <v>304</v>
      </c>
      <c r="C178" t="s">
        <v>1213</v>
      </c>
      <c r="D178">
        <v>-6.9348890000000001</v>
      </c>
      <c r="E178">
        <v>3.2161469999999999</v>
      </c>
      <c r="F178">
        <v>-11.69032</v>
      </c>
      <c r="G178" s="154">
        <v>4.8163320000000001</v>
      </c>
    </row>
    <row r="179" spans="1:7" x14ac:dyDescent="0.25">
      <c r="A179" t="s">
        <v>91</v>
      </c>
      <c r="B179" t="s">
        <v>304</v>
      </c>
      <c r="C179" t="s">
        <v>1214</v>
      </c>
      <c r="D179">
        <v>-5.051177</v>
      </c>
      <c r="E179">
        <v>3.49315</v>
      </c>
      <c r="F179">
        <v>-10.336499999999999</v>
      </c>
      <c r="G179" s="154">
        <v>5.6847289999999999</v>
      </c>
    </row>
    <row r="180" spans="1:7" x14ac:dyDescent="0.25">
      <c r="A180" t="s">
        <v>78</v>
      </c>
      <c r="B180" t="s">
        <v>297</v>
      </c>
      <c r="C180" t="s">
        <v>1215</v>
      </c>
      <c r="D180">
        <v>-11.998329999999999</v>
      </c>
      <c r="E180">
        <v>1.686399</v>
      </c>
      <c r="F180">
        <v>-10.31193</v>
      </c>
      <c r="G180" s="154">
        <v>2.2551760000000001</v>
      </c>
    </row>
    <row r="181" spans="1:7" x14ac:dyDescent="0.25">
      <c r="A181" t="s">
        <v>78</v>
      </c>
      <c r="B181" t="s">
        <v>297</v>
      </c>
      <c r="C181" t="s">
        <v>1104</v>
      </c>
      <c r="D181">
        <v>-10.488810000000001</v>
      </c>
      <c r="E181">
        <v>4.7206440000000001</v>
      </c>
      <c r="F181">
        <v>-5.768167</v>
      </c>
      <c r="G181" s="154">
        <v>5.0445469999999997</v>
      </c>
    </row>
    <row r="182" spans="1:7" x14ac:dyDescent="0.25">
      <c r="A182" t="s">
        <v>78</v>
      </c>
      <c r="B182" t="s">
        <v>297</v>
      </c>
      <c r="C182" t="s">
        <v>1109</v>
      </c>
      <c r="D182">
        <v>-10.942080000000001</v>
      </c>
      <c r="E182">
        <v>5.3644170000000004</v>
      </c>
      <c r="F182">
        <v>-5.5776589999999997</v>
      </c>
      <c r="G182" s="154">
        <v>2.7845810000000002</v>
      </c>
    </row>
    <row r="183" spans="1:7" x14ac:dyDescent="0.25">
      <c r="A183" t="s">
        <v>78</v>
      </c>
      <c r="B183" t="s">
        <v>297</v>
      </c>
      <c r="C183" t="s">
        <v>1216</v>
      </c>
      <c r="D183">
        <v>-11.88898</v>
      </c>
      <c r="E183">
        <v>3.5430280000000001</v>
      </c>
      <c r="F183">
        <v>-8.3459500000000002</v>
      </c>
      <c r="G183" s="154">
        <v>0.71419619999999995</v>
      </c>
    </row>
    <row r="184" spans="1:7" x14ac:dyDescent="0.25">
      <c r="A184" t="s">
        <v>78</v>
      </c>
      <c r="B184" t="s">
        <v>297</v>
      </c>
      <c r="C184" t="s">
        <v>1097</v>
      </c>
      <c r="D184">
        <v>-9.5258950000000002</v>
      </c>
      <c r="E184">
        <v>5.2045380000000003</v>
      </c>
      <c r="F184">
        <v>-4.3213569999999999</v>
      </c>
      <c r="G184" s="154">
        <v>5.3111030000000001</v>
      </c>
    </row>
    <row r="185" spans="1:7" x14ac:dyDescent="0.25">
      <c r="A185" t="s">
        <v>78</v>
      </c>
      <c r="B185" t="s">
        <v>297</v>
      </c>
      <c r="C185" t="s">
        <v>1111</v>
      </c>
      <c r="D185">
        <v>-11.305210000000001</v>
      </c>
      <c r="E185">
        <v>4.1789019999999999</v>
      </c>
      <c r="F185">
        <v>-7.126309</v>
      </c>
      <c r="G185" s="154">
        <v>1.030124</v>
      </c>
    </row>
    <row r="186" spans="1:7" x14ac:dyDescent="0.25">
      <c r="A186" t="s">
        <v>78</v>
      </c>
      <c r="B186" t="s">
        <v>297</v>
      </c>
      <c r="C186" t="s">
        <v>1217</v>
      </c>
      <c r="D186">
        <v>-10.654579999999999</v>
      </c>
      <c r="E186">
        <v>3.6939690000000001</v>
      </c>
      <c r="F186">
        <v>-6.9606070000000004</v>
      </c>
      <c r="G186" s="154">
        <v>4.0899029999999996</v>
      </c>
    </row>
    <row r="187" spans="1:7" x14ac:dyDescent="0.25">
      <c r="A187" t="s">
        <v>78</v>
      </c>
      <c r="B187" t="s">
        <v>297</v>
      </c>
      <c r="C187" t="s">
        <v>1218</v>
      </c>
      <c r="D187">
        <v>-10.44458</v>
      </c>
      <c r="E187">
        <v>4.4598769999999996</v>
      </c>
      <c r="F187">
        <v>-5.9847000000000001</v>
      </c>
      <c r="G187" s="154">
        <v>3.6240619999999999</v>
      </c>
    </row>
    <row r="188" spans="1:7" x14ac:dyDescent="0.25">
      <c r="A188" t="s">
        <v>78</v>
      </c>
      <c r="B188" t="s">
        <v>297</v>
      </c>
      <c r="C188" t="s">
        <v>1219</v>
      </c>
      <c r="D188">
        <v>-10.08075</v>
      </c>
      <c r="E188">
        <v>5.2173239999999996</v>
      </c>
      <c r="F188">
        <v>-4.8634250000000003</v>
      </c>
      <c r="G188" s="154">
        <v>4.4354560000000003</v>
      </c>
    </row>
    <row r="189" spans="1:7" x14ac:dyDescent="0.25">
      <c r="A189" t="s">
        <v>78</v>
      </c>
      <c r="B189" t="s">
        <v>297</v>
      </c>
      <c r="C189" t="s">
        <v>1220</v>
      </c>
      <c r="D189">
        <v>-10.718769999999999</v>
      </c>
      <c r="E189">
        <v>6.1909099999999997</v>
      </c>
      <c r="F189">
        <v>-4.527863</v>
      </c>
      <c r="G189" s="154">
        <v>5.167046</v>
      </c>
    </row>
    <row r="190" spans="1:7" x14ac:dyDescent="0.25">
      <c r="B190" t="s">
        <v>305</v>
      </c>
      <c r="C190" t="s">
        <v>1221</v>
      </c>
      <c r="E190">
        <v>1.1943550000000001</v>
      </c>
      <c r="F190">
        <v>-2.4799349999999998</v>
      </c>
      <c r="G190" s="154">
        <v>5.5351499999999998</v>
      </c>
    </row>
    <row r="191" spans="1:7" x14ac:dyDescent="0.25">
      <c r="B191" t="s">
        <v>305</v>
      </c>
      <c r="C191" t="s">
        <v>1222</v>
      </c>
      <c r="E191">
        <v>1.4477409999999999</v>
      </c>
      <c r="F191">
        <v>-1.8131699999999999</v>
      </c>
      <c r="G191" s="154">
        <v>6.4246410000000003</v>
      </c>
    </row>
    <row r="192" spans="1:7" x14ac:dyDescent="0.25">
      <c r="B192" t="s">
        <v>305</v>
      </c>
      <c r="C192" t="s">
        <v>1223</v>
      </c>
      <c r="E192">
        <v>1.040035</v>
      </c>
      <c r="F192">
        <v>-2.490516</v>
      </c>
      <c r="G192" s="154">
        <v>5.5319469999999997</v>
      </c>
    </row>
    <row r="193" spans="2:7" x14ac:dyDescent="0.25">
      <c r="B193" t="s">
        <v>305</v>
      </c>
      <c r="C193" t="s">
        <v>1224</v>
      </c>
      <c r="E193">
        <v>1.3289169999999999</v>
      </c>
      <c r="F193">
        <v>-2.1147320000000001</v>
      </c>
      <c r="G193" s="154">
        <v>7.6366589999999999</v>
      </c>
    </row>
    <row r="194" spans="2:7" x14ac:dyDescent="0.25">
      <c r="B194" t="s">
        <v>305</v>
      </c>
      <c r="C194" t="s">
        <v>1225</v>
      </c>
      <c r="E194">
        <v>1.4803759999999999</v>
      </c>
      <c r="F194">
        <v>-1.4536359999999999</v>
      </c>
      <c r="G194" s="154">
        <v>8.4160419999999991</v>
      </c>
    </row>
    <row r="195" spans="2:7" x14ac:dyDescent="0.25">
      <c r="B195" t="s">
        <v>305</v>
      </c>
      <c r="C195" t="s">
        <v>1226</v>
      </c>
      <c r="E195">
        <v>1.0790649999999999</v>
      </c>
      <c r="F195">
        <v>-2.5659689999999999</v>
      </c>
      <c r="G195" s="154">
        <v>6.2762609999999999</v>
      </c>
    </row>
    <row r="196" spans="2:7" x14ac:dyDescent="0.25">
      <c r="B196" t="s">
        <v>305</v>
      </c>
      <c r="C196" t="s">
        <v>1227</v>
      </c>
      <c r="E196">
        <v>0.91161689999999995</v>
      </c>
      <c r="F196">
        <v>-2.1362369999999999</v>
      </c>
      <c r="G196" s="154">
        <v>5.4336820000000001</v>
      </c>
    </row>
    <row r="197" spans="2:7" x14ac:dyDescent="0.25">
      <c r="B197" t="s">
        <v>305</v>
      </c>
      <c r="C197" t="s">
        <v>1228</v>
      </c>
      <c r="E197">
        <v>1.152434</v>
      </c>
      <c r="F197">
        <v>-2.1659959999999998</v>
      </c>
      <c r="G197" s="154">
        <v>6.0908730000000002</v>
      </c>
    </row>
    <row r="198" spans="2:7" x14ac:dyDescent="0.25">
      <c r="B198" t="s">
        <v>305</v>
      </c>
      <c r="C198" t="s">
        <v>1229</v>
      </c>
      <c r="E198">
        <v>0.89465870000000003</v>
      </c>
      <c r="F198">
        <v>-2.6588479999999999</v>
      </c>
      <c r="G198" s="154">
        <v>4.6985549999999998</v>
      </c>
    </row>
    <row r="199" spans="2:7" x14ac:dyDescent="0.25">
      <c r="B199" t="s">
        <v>305</v>
      </c>
      <c r="C199" t="s">
        <v>1230</v>
      </c>
      <c r="E199">
        <v>0.93515559999999998</v>
      </c>
      <c r="F199">
        <v>-2.1464750000000001</v>
      </c>
      <c r="G199" s="154">
        <v>5.3518530000000002</v>
      </c>
    </row>
    <row r="200" spans="2:7" x14ac:dyDescent="0.25">
      <c r="B200" t="s">
        <v>305</v>
      </c>
      <c r="C200" t="s">
        <v>1231</v>
      </c>
      <c r="E200">
        <v>0.79393230000000004</v>
      </c>
      <c r="F200">
        <v>-2.9242569999999999</v>
      </c>
      <c r="G200" s="154">
        <v>4.7041440000000003</v>
      </c>
    </row>
    <row r="201" spans="2:7" x14ac:dyDescent="0.25">
      <c r="B201" t="s">
        <v>305</v>
      </c>
      <c r="C201" t="s">
        <v>1232</v>
      </c>
      <c r="E201">
        <v>0.95217629999999998</v>
      </c>
      <c r="F201">
        <v>-2.4652799999999999</v>
      </c>
      <c r="G201" s="154">
        <v>5.6329630000000002</v>
      </c>
    </row>
    <row r="202" spans="2:7" x14ac:dyDescent="0.25">
      <c r="B202" t="s">
        <v>305</v>
      </c>
      <c r="C202" t="s">
        <v>1233</v>
      </c>
      <c r="E202">
        <v>0.68051709999999999</v>
      </c>
      <c r="F202">
        <v>-3.9720309999999999</v>
      </c>
      <c r="G202" s="154">
        <v>4.2130830000000001</v>
      </c>
    </row>
    <row r="203" spans="2:7" x14ac:dyDescent="0.25">
      <c r="B203" t="s">
        <v>305</v>
      </c>
      <c r="C203" t="s">
        <v>1234</v>
      </c>
      <c r="E203">
        <v>0.93277339999999997</v>
      </c>
      <c r="F203">
        <v>-2.7288570000000001</v>
      </c>
      <c r="G203" s="154">
        <v>5.2499000000000002</v>
      </c>
    </row>
    <row r="204" spans="2:7" x14ac:dyDescent="0.25">
      <c r="B204" t="s">
        <v>305</v>
      </c>
      <c r="C204" t="s">
        <v>1235</v>
      </c>
      <c r="E204">
        <v>1.130217</v>
      </c>
      <c r="F204">
        <v>-1.9734389999999999</v>
      </c>
      <c r="G204" s="154">
        <v>6.0691600000000001</v>
      </c>
    </row>
    <row r="205" spans="2:7" x14ac:dyDescent="0.25">
      <c r="B205" t="s">
        <v>305</v>
      </c>
      <c r="C205" t="s">
        <v>1236</v>
      </c>
      <c r="E205">
        <v>0.74212120000000004</v>
      </c>
      <c r="F205">
        <v>-3.542503</v>
      </c>
      <c r="G205" s="154">
        <v>4.4299359999999997</v>
      </c>
    </row>
    <row r="206" spans="2:7" x14ac:dyDescent="0.25">
      <c r="B206" t="s">
        <v>305</v>
      </c>
      <c r="C206" t="s">
        <v>1237</v>
      </c>
      <c r="E206">
        <v>0.79816450000000005</v>
      </c>
      <c r="F206">
        <v>-2.7687550000000001</v>
      </c>
      <c r="G206" s="154">
        <v>4.2605329999999997</v>
      </c>
    </row>
    <row r="207" spans="2:7" x14ac:dyDescent="0.25">
      <c r="B207" t="s">
        <v>305</v>
      </c>
      <c r="C207" t="s">
        <v>1238</v>
      </c>
      <c r="E207">
        <v>0.85759960000000002</v>
      </c>
      <c r="F207">
        <v>-2.5715599999999998</v>
      </c>
      <c r="G207" s="154">
        <v>5.2644039999999999</v>
      </c>
    </row>
    <row r="208" spans="2:7" x14ac:dyDescent="0.25">
      <c r="B208" t="s">
        <v>305</v>
      </c>
      <c r="C208" t="s">
        <v>1239</v>
      </c>
      <c r="E208">
        <v>1.212291</v>
      </c>
      <c r="F208">
        <v>-2.663713</v>
      </c>
      <c r="G208" s="154">
        <v>4.4978790000000002</v>
      </c>
    </row>
    <row r="209" spans="1:7" x14ac:dyDescent="0.25">
      <c r="B209" t="s">
        <v>305</v>
      </c>
      <c r="C209" t="s">
        <v>1240</v>
      </c>
      <c r="E209">
        <v>1.150736</v>
      </c>
      <c r="F209">
        <v>-2.3990100000000001</v>
      </c>
      <c r="G209" s="154">
        <v>5.7064199999999996</v>
      </c>
    </row>
    <row r="210" spans="1:7" x14ac:dyDescent="0.25">
      <c r="B210" t="s">
        <v>305</v>
      </c>
      <c r="C210" t="s">
        <v>1241</v>
      </c>
      <c r="E210">
        <v>0.89427610000000002</v>
      </c>
      <c r="F210">
        <v>-2.179144</v>
      </c>
      <c r="G210" s="154">
        <v>6.3020350000000001</v>
      </c>
    </row>
    <row r="211" spans="1:7" x14ac:dyDescent="0.25">
      <c r="B211" t="s">
        <v>305</v>
      </c>
      <c r="C211" t="s">
        <v>1242</v>
      </c>
      <c r="E211">
        <v>0.90912099999999996</v>
      </c>
      <c r="F211">
        <v>-2.5737580000000002</v>
      </c>
      <c r="G211" s="154">
        <v>4.5550750000000004</v>
      </c>
    </row>
    <row r="212" spans="1:7" x14ac:dyDescent="0.25">
      <c r="B212" t="s">
        <v>305</v>
      </c>
      <c r="C212" t="s">
        <v>1243</v>
      </c>
      <c r="E212">
        <v>0.96144810000000003</v>
      </c>
      <c r="F212">
        <v>-2.356328</v>
      </c>
      <c r="G212" s="154">
        <v>5.6545880000000004</v>
      </c>
    </row>
    <row r="213" spans="1:7" x14ac:dyDescent="0.25">
      <c r="B213" t="s">
        <v>305</v>
      </c>
      <c r="C213" t="s">
        <v>1244</v>
      </c>
      <c r="E213">
        <v>0.88066509999999998</v>
      </c>
      <c r="F213">
        <v>-3.3577089999999998</v>
      </c>
      <c r="G213" s="154">
        <v>3.8672049999999998</v>
      </c>
    </row>
    <row r="214" spans="1:7" x14ac:dyDescent="0.25">
      <c r="B214" t="s">
        <v>305</v>
      </c>
      <c r="C214" t="s">
        <v>1245</v>
      </c>
      <c r="E214">
        <v>1.0984020000000001</v>
      </c>
      <c r="F214">
        <v>-2.0540759999999998</v>
      </c>
      <c r="G214" s="154">
        <v>6.395505</v>
      </c>
    </row>
    <row r="215" spans="1:7" x14ac:dyDescent="0.25">
      <c r="B215" t="s">
        <v>305</v>
      </c>
      <c r="C215" t="s">
        <v>1246</v>
      </c>
      <c r="E215">
        <v>1.117184</v>
      </c>
      <c r="F215">
        <v>-2.2405979999999999</v>
      </c>
      <c r="G215" s="154">
        <v>6.212275</v>
      </c>
    </row>
    <row r="216" spans="1:7" x14ac:dyDescent="0.25">
      <c r="B216" t="s">
        <v>305</v>
      </c>
      <c r="C216" t="s">
        <v>1247</v>
      </c>
      <c r="E216">
        <v>1.1709769999999999</v>
      </c>
      <c r="F216">
        <v>-2.010389</v>
      </c>
      <c r="G216" s="154">
        <v>8.3451679999999993</v>
      </c>
    </row>
    <row r="217" spans="1:7" x14ac:dyDescent="0.25">
      <c r="B217" t="s">
        <v>305</v>
      </c>
      <c r="C217" t="s">
        <v>1248</v>
      </c>
      <c r="E217">
        <v>1.0893250000000001</v>
      </c>
      <c r="F217">
        <v>-1.9387110000000001</v>
      </c>
      <c r="G217" s="154">
        <v>6.4136369999999996</v>
      </c>
    </row>
    <row r="218" spans="1:7" x14ac:dyDescent="0.25">
      <c r="B218" t="s">
        <v>305</v>
      </c>
      <c r="C218" t="s">
        <v>1249</v>
      </c>
      <c r="E218">
        <v>0.89209550000000004</v>
      </c>
      <c r="F218">
        <v>-2.5924860000000001</v>
      </c>
      <c r="G218" s="154">
        <v>5.2999689999999999</v>
      </c>
    </row>
    <row r="219" spans="1:7" x14ac:dyDescent="0.25">
      <c r="B219" t="s">
        <v>305</v>
      </c>
      <c r="C219" t="s">
        <v>1250</v>
      </c>
      <c r="E219">
        <v>0.98677789999999999</v>
      </c>
      <c r="F219">
        <v>-2.253279</v>
      </c>
      <c r="G219" s="154">
        <v>5.6499689999999996</v>
      </c>
    </row>
    <row r="220" spans="1:7" x14ac:dyDescent="0.25">
      <c r="B220" t="s">
        <v>305</v>
      </c>
      <c r="C220" t="s">
        <v>1251</v>
      </c>
      <c r="E220">
        <v>1.2129099999999999</v>
      </c>
      <c r="F220">
        <v>-2.061328</v>
      </c>
      <c r="G220" s="154">
        <v>7.0379759999999996</v>
      </c>
    </row>
    <row r="221" spans="1:7" x14ac:dyDescent="0.25">
      <c r="B221" t="s">
        <v>305</v>
      </c>
      <c r="C221" t="s">
        <v>1252</v>
      </c>
      <c r="E221">
        <v>0.95360239999999996</v>
      </c>
      <c r="F221">
        <v>-3.4580929999999999</v>
      </c>
      <c r="G221" s="154">
        <v>4.9230770000000001</v>
      </c>
    </row>
    <row r="222" spans="1:7" x14ac:dyDescent="0.25">
      <c r="B222" t="s">
        <v>305</v>
      </c>
      <c r="C222" t="s">
        <v>1253</v>
      </c>
      <c r="E222">
        <v>1.1582170000000001</v>
      </c>
      <c r="F222">
        <v>-3.0353479999999999</v>
      </c>
      <c r="G222" s="154">
        <v>3.5912280000000001</v>
      </c>
    </row>
    <row r="223" spans="1:7" x14ac:dyDescent="0.25">
      <c r="A223" t="s">
        <v>139</v>
      </c>
      <c r="B223" t="s">
        <v>313</v>
      </c>
      <c r="C223" t="s">
        <v>1254</v>
      </c>
      <c r="D223">
        <v>-4.1034379999999997</v>
      </c>
      <c r="E223">
        <v>1.3918759999999999</v>
      </c>
      <c r="F223">
        <v>-1.943273</v>
      </c>
      <c r="G223" s="154">
        <v>10.96058</v>
      </c>
    </row>
    <row r="224" spans="1:7" x14ac:dyDescent="0.25">
      <c r="A224" t="s">
        <v>139</v>
      </c>
      <c r="B224" t="s">
        <v>313</v>
      </c>
      <c r="C224" t="s">
        <v>1255</v>
      </c>
      <c r="D224">
        <v>-4.1160220000000001</v>
      </c>
      <c r="E224">
        <v>1.419616</v>
      </c>
      <c r="F224">
        <v>-1.9137029999999999</v>
      </c>
      <c r="G224" s="154">
        <v>11.15672</v>
      </c>
    </row>
    <row r="225" spans="1:7" x14ac:dyDescent="0.25">
      <c r="A225" t="s">
        <v>139</v>
      </c>
      <c r="B225" t="s">
        <v>313</v>
      </c>
      <c r="C225" t="s">
        <v>1256</v>
      </c>
      <c r="D225">
        <v>-4.5650539999999999</v>
      </c>
      <c r="E225">
        <v>1.52237</v>
      </c>
      <c r="F225">
        <v>-2.0799750000000001</v>
      </c>
      <c r="G225" s="154">
        <v>10.93463</v>
      </c>
    </row>
    <row r="226" spans="1:7" x14ac:dyDescent="0.25">
      <c r="A226" t="s">
        <v>139</v>
      </c>
      <c r="B226" t="s">
        <v>313</v>
      </c>
      <c r="C226" t="s">
        <v>1257</v>
      </c>
      <c r="D226">
        <v>-4.0766850000000003</v>
      </c>
      <c r="E226">
        <v>1.201373</v>
      </c>
      <c r="F226">
        <v>-2.5444420000000001</v>
      </c>
      <c r="G226" s="154">
        <v>11.92693</v>
      </c>
    </row>
    <row r="227" spans="1:7" x14ac:dyDescent="0.25">
      <c r="A227" t="s">
        <v>139</v>
      </c>
      <c r="B227" t="s">
        <v>313</v>
      </c>
      <c r="C227" t="s">
        <v>1258</v>
      </c>
      <c r="D227">
        <v>-4.0100030000000002</v>
      </c>
      <c r="E227">
        <v>1.4629730000000001</v>
      </c>
      <c r="F227">
        <v>-1.8018110000000001</v>
      </c>
      <c r="G227" s="154">
        <v>11.126899999999999</v>
      </c>
    </row>
    <row r="228" spans="1:7" x14ac:dyDescent="0.25">
      <c r="A228" t="s">
        <v>139</v>
      </c>
      <c r="B228" t="s">
        <v>313</v>
      </c>
      <c r="C228" t="s">
        <v>1259</v>
      </c>
      <c r="D228">
        <v>-4.5953949999999999</v>
      </c>
      <c r="E228">
        <v>1.497169</v>
      </c>
      <c r="F228">
        <v>-2.15848</v>
      </c>
      <c r="G228" s="154">
        <v>10.692550000000001</v>
      </c>
    </row>
    <row r="229" spans="1:7" x14ac:dyDescent="0.25">
      <c r="A229" t="s">
        <v>139</v>
      </c>
      <c r="B229" t="s">
        <v>313</v>
      </c>
      <c r="C229" t="s">
        <v>1260</v>
      </c>
      <c r="D229">
        <v>-4.0815049999999999</v>
      </c>
      <c r="E229">
        <v>1.2148620000000001</v>
      </c>
      <c r="F229">
        <v>-1.9639789999999999</v>
      </c>
      <c r="G229" s="154">
        <v>10.025130000000001</v>
      </c>
    </row>
    <row r="230" spans="1:7" x14ac:dyDescent="0.25">
      <c r="A230" t="s">
        <v>139</v>
      </c>
      <c r="B230" t="s">
        <v>313</v>
      </c>
      <c r="C230" t="s">
        <v>1261</v>
      </c>
      <c r="D230">
        <v>-4.0292820000000003</v>
      </c>
      <c r="E230">
        <v>1.4155580000000001</v>
      </c>
      <c r="F230">
        <v>-1.8684860000000001</v>
      </c>
      <c r="G230" s="154">
        <v>10.754049999999999</v>
      </c>
    </row>
    <row r="231" spans="1:7" x14ac:dyDescent="0.25">
      <c r="A231" t="s">
        <v>161</v>
      </c>
      <c r="B231" t="s">
        <v>333</v>
      </c>
      <c r="C231" t="e">
        <f>-Western Pomerania</f>
        <v>#NAME?</v>
      </c>
      <c r="D231">
        <v>-6.1404810000000003</v>
      </c>
      <c r="E231">
        <v>10.451639999999999</v>
      </c>
      <c r="F231">
        <v>-1.216648</v>
      </c>
      <c r="G231" s="154">
        <v>10.877649999999999</v>
      </c>
    </row>
    <row r="232" spans="1:7" x14ac:dyDescent="0.25">
      <c r="A232" t="s">
        <v>161</v>
      </c>
      <c r="B232" t="s">
        <v>333</v>
      </c>
      <c r="C232" t="s">
        <v>1262</v>
      </c>
      <c r="D232">
        <v>-7.1654540000000004</v>
      </c>
      <c r="E232">
        <v>10.698980000000001</v>
      </c>
      <c r="F232">
        <v>-2.1697359999999999</v>
      </c>
      <c r="G232" s="154">
        <v>11.100949999999999</v>
      </c>
    </row>
    <row r="233" spans="1:7" x14ac:dyDescent="0.25">
      <c r="A233" t="s">
        <v>161</v>
      </c>
      <c r="B233" t="s">
        <v>333</v>
      </c>
      <c r="C233" t="s">
        <v>1263</v>
      </c>
      <c r="D233">
        <v>-7.4345840000000001</v>
      </c>
      <c r="E233">
        <v>20.25742</v>
      </c>
      <c r="F233">
        <v>-2.3429709999999999</v>
      </c>
      <c r="G233" s="154">
        <v>10.915380000000001</v>
      </c>
    </row>
    <row r="234" spans="1:7" x14ac:dyDescent="0.25">
      <c r="A234" t="s">
        <v>161</v>
      </c>
      <c r="B234" t="s">
        <v>333</v>
      </c>
      <c r="C234" t="s">
        <v>1264</v>
      </c>
      <c r="D234">
        <v>-7.8341880000000002</v>
      </c>
      <c r="E234">
        <v>4.901033</v>
      </c>
      <c r="F234">
        <v>-3.39134</v>
      </c>
      <c r="G234" s="154">
        <v>11.912470000000001</v>
      </c>
    </row>
    <row r="235" spans="1:7" x14ac:dyDescent="0.25">
      <c r="A235" t="s">
        <v>161</v>
      </c>
      <c r="B235" t="s">
        <v>333</v>
      </c>
      <c r="C235" t="s">
        <v>1265</v>
      </c>
      <c r="D235">
        <v>-7.616333</v>
      </c>
      <c r="E235">
        <v>5.0079050000000001</v>
      </c>
      <c r="F235">
        <v>-2.322152</v>
      </c>
      <c r="G235" s="154">
        <v>10.59056</v>
      </c>
    </row>
    <row r="236" spans="1:7" x14ac:dyDescent="0.25">
      <c r="A236" t="s">
        <v>161</v>
      </c>
      <c r="B236" t="s">
        <v>333</v>
      </c>
      <c r="C236" t="s">
        <v>1266</v>
      </c>
      <c r="D236">
        <v>-7.6541480000000002</v>
      </c>
      <c r="E236">
        <v>8.2521129999999996</v>
      </c>
      <c r="F236">
        <v>-2.693854</v>
      </c>
      <c r="G236" s="154">
        <v>11.0283</v>
      </c>
    </row>
    <row r="237" spans="1:7" x14ac:dyDescent="0.25">
      <c r="A237" t="s">
        <v>161</v>
      </c>
      <c r="B237" t="s">
        <v>333</v>
      </c>
      <c r="C237" t="s">
        <v>1267</v>
      </c>
      <c r="D237">
        <v>-7.4919159999999998</v>
      </c>
      <c r="E237">
        <v>13.40282</v>
      </c>
      <c r="F237">
        <v>-2.6858300000000002</v>
      </c>
      <c r="G237" s="154">
        <v>10.820779999999999</v>
      </c>
    </row>
    <row r="238" spans="1:7" x14ac:dyDescent="0.25">
      <c r="A238" t="s">
        <v>161</v>
      </c>
      <c r="B238" t="s">
        <v>333</v>
      </c>
      <c r="C238" t="s">
        <v>1268</v>
      </c>
      <c r="D238">
        <v>-7.6084630000000004</v>
      </c>
      <c r="E238">
        <v>7.6095370000000004</v>
      </c>
      <c r="F238">
        <v>-2.706626</v>
      </c>
      <c r="G238" s="154">
        <v>10.7416</v>
      </c>
    </row>
    <row r="239" spans="1:7" x14ac:dyDescent="0.25">
      <c r="A239" t="s">
        <v>161</v>
      </c>
      <c r="B239" t="s">
        <v>333</v>
      </c>
      <c r="C239" t="s">
        <v>1269</v>
      </c>
      <c r="D239">
        <v>-7.6274160000000002</v>
      </c>
      <c r="E239">
        <v>4.8435620000000004</v>
      </c>
      <c r="F239">
        <v>-2.4386860000000001</v>
      </c>
      <c r="G239" s="154">
        <v>10.559810000000001</v>
      </c>
    </row>
    <row r="240" spans="1:7" x14ac:dyDescent="0.25">
      <c r="A240" t="s">
        <v>161</v>
      </c>
      <c r="B240" t="s">
        <v>333</v>
      </c>
      <c r="C240" t="s">
        <v>1270</v>
      </c>
      <c r="D240">
        <v>-7.3214610000000002</v>
      </c>
      <c r="E240">
        <v>7.5783490000000002</v>
      </c>
      <c r="F240">
        <v>-2.88367</v>
      </c>
      <c r="G240" s="154">
        <v>12.012130000000001</v>
      </c>
    </row>
    <row r="241" spans="1:7" x14ac:dyDescent="0.25">
      <c r="A241" t="s">
        <v>161</v>
      </c>
      <c r="B241" t="s">
        <v>333</v>
      </c>
      <c r="C241" t="s">
        <v>1271</v>
      </c>
      <c r="D241">
        <v>-7.7338889999999996</v>
      </c>
      <c r="E241">
        <v>4.3027629999999997</v>
      </c>
      <c r="F241">
        <v>-3.1021239999999999</v>
      </c>
      <c r="G241" s="154">
        <v>11.31803</v>
      </c>
    </row>
    <row r="242" spans="1:7" x14ac:dyDescent="0.25">
      <c r="A242" t="s">
        <v>171</v>
      </c>
      <c r="B242" t="s">
        <v>314</v>
      </c>
      <c r="C242" t="s">
        <v>1272</v>
      </c>
      <c r="D242">
        <v>-2.3338700000000001</v>
      </c>
      <c r="E242">
        <v>3.0311140000000001</v>
      </c>
      <c r="F242">
        <v>0.69724390000000003</v>
      </c>
      <c r="G242" s="154">
        <v>9.2061550000000008</v>
      </c>
    </row>
    <row r="243" spans="1:7" x14ac:dyDescent="0.25">
      <c r="A243" t="s">
        <v>171</v>
      </c>
      <c r="B243" t="s">
        <v>314</v>
      </c>
      <c r="C243" t="s">
        <v>1273</v>
      </c>
      <c r="D243">
        <v>-4.9878879999999999</v>
      </c>
      <c r="E243">
        <v>3.0311140000000001</v>
      </c>
      <c r="F243">
        <v>-1.956774</v>
      </c>
      <c r="G243" s="154">
        <v>10.554270000000001</v>
      </c>
    </row>
    <row r="244" spans="1:7" x14ac:dyDescent="0.25">
      <c r="A244" t="s">
        <v>171</v>
      </c>
      <c r="B244" t="s">
        <v>314</v>
      </c>
      <c r="C244" t="s">
        <v>1274</v>
      </c>
      <c r="D244">
        <v>-4.947451</v>
      </c>
      <c r="E244">
        <v>3.0311140000000001</v>
      </c>
      <c r="F244">
        <v>-1.916337</v>
      </c>
      <c r="G244" s="154">
        <v>11.26285</v>
      </c>
    </row>
    <row r="245" spans="1:7" x14ac:dyDescent="0.25">
      <c r="A245" t="s">
        <v>171</v>
      </c>
      <c r="B245" t="s">
        <v>314</v>
      </c>
      <c r="C245" t="s">
        <v>1275</v>
      </c>
      <c r="D245">
        <v>-4.4869969999999997</v>
      </c>
      <c r="E245">
        <v>3.0311140000000001</v>
      </c>
      <c r="F245">
        <v>-1.455883</v>
      </c>
      <c r="G245" s="154">
        <v>10.679320000000001</v>
      </c>
    </row>
    <row r="246" spans="1:7" x14ac:dyDescent="0.25">
      <c r="A246" t="s">
        <v>171</v>
      </c>
      <c r="B246" t="s">
        <v>314</v>
      </c>
      <c r="C246" t="s">
        <v>1276</v>
      </c>
      <c r="D246">
        <v>-4.5158509999999996</v>
      </c>
      <c r="E246">
        <v>2.9495239999999998</v>
      </c>
      <c r="F246">
        <v>-1.566327</v>
      </c>
      <c r="G246" s="154">
        <v>9.8874820000000003</v>
      </c>
    </row>
    <row r="247" spans="1:7" x14ac:dyDescent="0.25">
      <c r="A247" t="s">
        <v>171</v>
      </c>
      <c r="B247" t="s">
        <v>314</v>
      </c>
      <c r="C247" t="s">
        <v>1277</v>
      </c>
      <c r="D247">
        <v>-5.1710560000000001</v>
      </c>
      <c r="E247">
        <v>2.5767769999999999</v>
      </c>
      <c r="F247">
        <v>-2.5942799999999999</v>
      </c>
      <c r="G247" s="154">
        <v>9.6528840000000002</v>
      </c>
    </row>
    <row r="248" spans="1:7" x14ac:dyDescent="0.25">
      <c r="A248" t="s">
        <v>171</v>
      </c>
      <c r="B248" t="s">
        <v>314</v>
      </c>
      <c r="C248" t="s">
        <v>1278</v>
      </c>
      <c r="D248">
        <v>-3.7647750000000002</v>
      </c>
      <c r="E248">
        <v>2.9495239999999998</v>
      </c>
      <c r="F248">
        <v>-0.81525110000000001</v>
      </c>
      <c r="G248" s="154">
        <v>9.5412929999999996</v>
      </c>
    </row>
    <row r="249" spans="1:7" x14ac:dyDescent="0.25">
      <c r="A249" t="s">
        <v>171</v>
      </c>
      <c r="B249" t="s">
        <v>314</v>
      </c>
      <c r="C249" t="s">
        <v>1279</v>
      </c>
      <c r="D249">
        <v>-3.8835150000000001</v>
      </c>
      <c r="E249">
        <v>3.0261650000000002</v>
      </c>
      <c r="F249">
        <v>-0.85735059999999996</v>
      </c>
      <c r="G249" s="154">
        <v>9.3801269999999999</v>
      </c>
    </row>
    <row r="250" spans="1:7" x14ac:dyDescent="0.25">
      <c r="A250" t="s">
        <v>171</v>
      </c>
      <c r="B250" t="s">
        <v>314</v>
      </c>
      <c r="C250" t="s">
        <v>1280</v>
      </c>
      <c r="D250">
        <v>-4.3556280000000003</v>
      </c>
      <c r="E250">
        <v>2.2729870000000001</v>
      </c>
      <c r="F250">
        <v>-2.08264</v>
      </c>
      <c r="G250" s="154">
        <v>10.372389999999999</v>
      </c>
    </row>
    <row r="251" spans="1:7" x14ac:dyDescent="0.25">
      <c r="A251" t="s">
        <v>171</v>
      </c>
      <c r="B251" t="s">
        <v>314</v>
      </c>
      <c r="C251" t="s">
        <v>1281</v>
      </c>
      <c r="D251">
        <v>-3.8840119999999998</v>
      </c>
      <c r="E251">
        <v>2.9495239999999998</v>
      </c>
      <c r="F251">
        <v>-0.93448799999999999</v>
      </c>
      <c r="G251" s="154">
        <v>9.514856</v>
      </c>
    </row>
    <row r="252" spans="1:7" x14ac:dyDescent="0.25">
      <c r="A252" t="s">
        <v>171</v>
      </c>
      <c r="B252" t="s">
        <v>314</v>
      </c>
      <c r="C252" t="s">
        <v>1282</v>
      </c>
      <c r="D252">
        <v>-4.4514649999999998</v>
      </c>
      <c r="E252">
        <v>2.2729870000000001</v>
      </c>
      <c r="F252">
        <v>-2.1784780000000001</v>
      </c>
      <c r="G252" s="154">
        <v>9.3497640000000004</v>
      </c>
    </row>
    <row r="253" spans="1:7" x14ac:dyDescent="0.25">
      <c r="A253" t="s">
        <v>171</v>
      </c>
      <c r="B253" t="s">
        <v>314</v>
      </c>
      <c r="C253" t="s">
        <v>1283</v>
      </c>
      <c r="D253">
        <v>-4.2281680000000001</v>
      </c>
      <c r="E253">
        <v>2.9495239999999998</v>
      </c>
      <c r="F253">
        <v>-1.2786439999999999</v>
      </c>
      <c r="G253" s="154">
        <v>9.7592739999999996</v>
      </c>
    </row>
    <row r="254" spans="1:7" x14ac:dyDescent="0.25">
      <c r="A254" t="s">
        <v>171</v>
      </c>
      <c r="B254" t="s">
        <v>314</v>
      </c>
      <c r="C254" t="s">
        <v>1284</v>
      </c>
      <c r="D254">
        <v>-4.4234090000000004</v>
      </c>
      <c r="E254">
        <v>2.5767769999999999</v>
      </c>
      <c r="F254">
        <v>-1.8466320000000001</v>
      </c>
      <c r="G254" s="154">
        <v>9.4108339999999995</v>
      </c>
    </row>
    <row r="255" spans="1:7" x14ac:dyDescent="0.25">
      <c r="A255" t="s">
        <v>171</v>
      </c>
      <c r="B255" t="s">
        <v>314</v>
      </c>
      <c r="C255" t="s">
        <v>1285</v>
      </c>
      <c r="D255">
        <v>-4.5988439999999997</v>
      </c>
      <c r="E255">
        <v>2.2729870000000001</v>
      </c>
      <c r="F255">
        <v>-2.3258559999999999</v>
      </c>
      <c r="G255" s="154">
        <v>9.5363679999999995</v>
      </c>
    </row>
    <row r="256" spans="1:7" x14ac:dyDescent="0.25">
      <c r="A256" t="s">
        <v>171</v>
      </c>
      <c r="B256" t="s">
        <v>314</v>
      </c>
      <c r="C256" t="s">
        <v>1286</v>
      </c>
      <c r="D256">
        <v>-5.4512619999999998</v>
      </c>
      <c r="E256">
        <v>2.5767769999999999</v>
      </c>
      <c r="F256">
        <v>-2.874485</v>
      </c>
      <c r="G256" s="154">
        <v>10.477539999999999</v>
      </c>
    </row>
    <row r="257" spans="1:7" x14ac:dyDescent="0.25">
      <c r="A257" t="s">
        <v>151</v>
      </c>
      <c r="B257" t="s">
        <v>421</v>
      </c>
      <c r="C257" t="s">
        <v>1287</v>
      </c>
      <c r="D257">
        <v>-5.5399890000000003</v>
      </c>
      <c r="E257">
        <v>1.4093580000000001</v>
      </c>
      <c r="F257">
        <v>-3.4310200000000002</v>
      </c>
      <c r="G257" s="154">
        <v>8.584282</v>
      </c>
    </row>
    <row r="258" spans="1:7" x14ac:dyDescent="0.25">
      <c r="A258" t="s">
        <v>151</v>
      </c>
      <c r="B258" t="s">
        <v>421</v>
      </c>
      <c r="C258" t="s">
        <v>1288</v>
      </c>
      <c r="D258">
        <v>-5.1854570000000004</v>
      </c>
      <c r="E258">
        <v>1.523444</v>
      </c>
      <c r="F258">
        <v>-2.4737550000000001</v>
      </c>
      <c r="G258" s="154">
        <v>9.6152859999999993</v>
      </c>
    </row>
    <row r="259" spans="1:7" x14ac:dyDescent="0.25">
      <c r="A259" t="s">
        <v>151</v>
      </c>
      <c r="B259" t="s">
        <v>421</v>
      </c>
      <c r="C259" t="s">
        <v>1289</v>
      </c>
      <c r="D259">
        <v>-5.5923179999999997</v>
      </c>
      <c r="E259">
        <v>1.460585</v>
      </c>
      <c r="F259">
        <v>-2.9337390000000001</v>
      </c>
      <c r="G259" s="154">
        <v>8.5522799999999997</v>
      </c>
    </row>
    <row r="260" spans="1:7" x14ac:dyDescent="0.25">
      <c r="A260" t="s">
        <v>151</v>
      </c>
      <c r="B260" t="s">
        <v>421</v>
      </c>
      <c r="C260" t="s">
        <v>1290</v>
      </c>
      <c r="D260">
        <v>-5.3081339999999999</v>
      </c>
      <c r="E260">
        <v>1.444644</v>
      </c>
      <c r="F260">
        <v>-3.6093899999999999</v>
      </c>
      <c r="G260" s="154">
        <v>8.6106060000000006</v>
      </c>
    </row>
    <row r="261" spans="1:7" x14ac:dyDescent="0.25">
      <c r="A261" t="s">
        <v>151</v>
      </c>
      <c r="B261" t="s">
        <v>421</v>
      </c>
      <c r="C261" t="s">
        <v>1291</v>
      </c>
      <c r="D261">
        <v>-5.7604810000000004</v>
      </c>
      <c r="E261">
        <v>1.448915</v>
      </c>
      <c r="F261">
        <v>-3.8467549999999999</v>
      </c>
      <c r="G261" s="154">
        <v>8.7238790000000002</v>
      </c>
    </row>
    <row r="262" spans="1:7" x14ac:dyDescent="0.25">
      <c r="A262" t="s">
        <v>151</v>
      </c>
      <c r="B262" t="s">
        <v>421</v>
      </c>
      <c r="C262" t="s">
        <v>1292</v>
      </c>
      <c r="D262">
        <v>-5.469354</v>
      </c>
      <c r="E262">
        <v>1.473697</v>
      </c>
      <c r="F262">
        <v>-2.7499069999999999</v>
      </c>
      <c r="G262" s="154">
        <v>8.7462859999999996</v>
      </c>
    </row>
    <row r="263" spans="1:7" x14ac:dyDescent="0.25">
      <c r="A263" t="s">
        <v>151</v>
      </c>
      <c r="B263" t="s">
        <v>421</v>
      </c>
      <c r="C263" t="s">
        <v>1293</v>
      </c>
      <c r="E263">
        <v>1.3418140000000001</v>
      </c>
      <c r="G263" s="154">
        <v>8.2542709999999992</v>
      </c>
    </row>
    <row r="264" spans="1:7" x14ac:dyDescent="0.25">
      <c r="A264" t="s">
        <v>151</v>
      </c>
      <c r="B264" t="s">
        <v>421</v>
      </c>
      <c r="C264" t="s">
        <v>1294</v>
      </c>
      <c r="D264">
        <v>-5.3785309999999997</v>
      </c>
      <c r="E264">
        <v>1.410636</v>
      </c>
      <c r="F264">
        <v>-2.86029</v>
      </c>
      <c r="G264" s="154">
        <v>8.8020999999999994</v>
      </c>
    </row>
    <row r="265" spans="1:7" x14ac:dyDescent="0.25">
      <c r="A265" t="s">
        <v>151</v>
      </c>
      <c r="B265" t="s">
        <v>421</v>
      </c>
      <c r="C265" t="s">
        <v>1295</v>
      </c>
      <c r="D265">
        <v>-5.0173480000000001</v>
      </c>
      <c r="E265">
        <v>1.5821339999999999</v>
      </c>
      <c r="F265">
        <v>-2.4767389999999998</v>
      </c>
      <c r="G265" s="154">
        <v>8.8582090000000004</v>
      </c>
    </row>
    <row r="266" spans="1:7" x14ac:dyDescent="0.25">
      <c r="A266" t="s">
        <v>151</v>
      </c>
      <c r="B266" t="s">
        <v>421</v>
      </c>
      <c r="C266" t="s">
        <v>1296</v>
      </c>
      <c r="D266">
        <v>-6.8860250000000001</v>
      </c>
      <c r="E266">
        <v>1.151186</v>
      </c>
      <c r="F266">
        <v>-5.190893</v>
      </c>
      <c r="G266" s="154">
        <v>8.001201</v>
      </c>
    </row>
    <row r="267" spans="1:7" x14ac:dyDescent="0.25">
      <c r="A267" t="s">
        <v>151</v>
      </c>
      <c r="B267" t="s">
        <v>421</v>
      </c>
      <c r="C267" t="s">
        <v>1297</v>
      </c>
      <c r="D267">
        <v>-6.8500079999999999</v>
      </c>
      <c r="E267">
        <v>1.063329</v>
      </c>
      <c r="F267">
        <v>-5.2889439999999999</v>
      </c>
      <c r="G267" s="154">
        <v>9.0123929999999994</v>
      </c>
    </row>
    <row r="268" spans="1:7" x14ac:dyDescent="0.25">
      <c r="A268" t="s">
        <v>151</v>
      </c>
      <c r="B268" t="s">
        <v>421</v>
      </c>
      <c r="C268" t="s">
        <v>1298</v>
      </c>
      <c r="D268">
        <v>-5.10975</v>
      </c>
      <c r="E268">
        <v>1.51837</v>
      </c>
      <c r="F268">
        <v>-2.6671840000000002</v>
      </c>
      <c r="G268" s="154">
        <v>9.5797980000000003</v>
      </c>
    </row>
    <row r="269" spans="1:7" x14ac:dyDescent="0.25">
      <c r="A269" t="s">
        <v>151</v>
      </c>
      <c r="B269" t="s">
        <v>421</v>
      </c>
      <c r="C269" t="s">
        <v>1299</v>
      </c>
      <c r="D269">
        <v>-5.4605920000000001</v>
      </c>
      <c r="E269">
        <v>1.1909460000000001</v>
      </c>
      <c r="F269">
        <v>-3.5355210000000001</v>
      </c>
      <c r="G269" s="154">
        <v>8.4751729999999998</v>
      </c>
    </row>
    <row r="270" spans="1:7" x14ac:dyDescent="0.25">
      <c r="A270" t="s">
        <v>151</v>
      </c>
      <c r="B270" t="s">
        <v>421</v>
      </c>
      <c r="C270" t="s">
        <v>1300</v>
      </c>
      <c r="D270">
        <v>-5.2981210000000001</v>
      </c>
      <c r="E270">
        <v>1.4473640000000001</v>
      </c>
      <c r="F270">
        <v>-2.7754490000000001</v>
      </c>
      <c r="G270" s="154">
        <v>8.1319520000000001</v>
      </c>
    </row>
    <row r="271" spans="1:7" x14ac:dyDescent="0.25">
      <c r="A271" t="s">
        <v>151</v>
      </c>
      <c r="B271" t="s">
        <v>421</v>
      </c>
      <c r="C271" t="s">
        <v>1301</v>
      </c>
      <c r="D271">
        <v>-5.4494980000000002</v>
      </c>
      <c r="E271">
        <v>1.8684540000000001</v>
      </c>
      <c r="F271">
        <v>-3.0896710000000001</v>
      </c>
      <c r="G271" s="154">
        <v>10.391690000000001</v>
      </c>
    </row>
    <row r="272" spans="1:7" x14ac:dyDescent="0.25">
      <c r="A272" t="s">
        <v>151</v>
      </c>
      <c r="B272" t="s">
        <v>421</v>
      </c>
      <c r="C272" t="s">
        <v>1302</v>
      </c>
      <c r="D272">
        <v>-5.211843</v>
      </c>
      <c r="E272">
        <v>1.5381769999999999</v>
      </c>
      <c r="F272">
        <v>-2.8201930000000002</v>
      </c>
      <c r="G272" s="154">
        <v>8.4527239999999999</v>
      </c>
    </row>
    <row r="273" spans="1:7" x14ac:dyDescent="0.25">
      <c r="A273" t="s">
        <v>151</v>
      </c>
      <c r="B273" t="s">
        <v>421</v>
      </c>
      <c r="C273" t="s">
        <v>1303</v>
      </c>
      <c r="D273">
        <v>-5.0792770000000003</v>
      </c>
      <c r="E273">
        <v>1.5883240000000001</v>
      </c>
      <c r="F273">
        <v>-2.0756359999999998</v>
      </c>
      <c r="G273" s="154">
        <v>10.02383</v>
      </c>
    </row>
    <row r="274" spans="1:7" x14ac:dyDescent="0.25">
      <c r="A274" t="s">
        <v>151</v>
      </c>
      <c r="B274" t="s">
        <v>421</v>
      </c>
      <c r="C274" t="s">
        <v>1304</v>
      </c>
      <c r="D274">
        <v>-5.063682</v>
      </c>
      <c r="E274">
        <v>1.626625</v>
      </c>
      <c r="F274">
        <v>-2.2137380000000002</v>
      </c>
      <c r="G274" s="154">
        <v>10.09939</v>
      </c>
    </row>
    <row r="275" spans="1:7" x14ac:dyDescent="0.25">
      <c r="A275" t="s">
        <v>151</v>
      </c>
      <c r="B275" t="s">
        <v>421</v>
      </c>
      <c r="C275" t="s">
        <v>1305</v>
      </c>
      <c r="D275">
        <v>-4.7639509999999996</v>
      </c>
      <c r="E275">
        <v>1.4424920000000001</v>
      </c>
      <c r="F275">
        <v>-2.2970670000000002</v>
      </c>
      <c r="G275" s="154">
        <v>9.2662820000000004</v>
      </c>
    </row>
    <row r="276" spans="1:7" x14ac:dyDescent="0.25">
      <c r="A276" t="s">
        <v>133</v>
      </c>
      <c r="B276" t="s">
        <v>324</v>
      </c>
      <c r="C276" t="s">
        <v>1306</v>
      </c>
      <c r="D276">
        <v>-2.4602400000000002</v>
      </c>
      <c r="E276">
        <v>2.2960539999999998</v>
      </c>
      <c r="F276">
        <v>-0.1641862</v>
      </c>
      <c r="G276" s="154">
        <v>12.394539999999999</v>
      </c>
    </row>
    <row r="277" spans="1:7" x14ac:dyDescent="0.25">
      <c r="A277" t="s">
        <v>133</v>
      </c>
      <c r="B277" t="s">
        <v>324</v>
      </c>
      <c r="C277" t="s">
        <v>1307</v>
      </c>
      <c r="D277">
        <v>-2.757606</v>
      </c>
      <c r="E277">
        <v>2.0834839999999999</v>
      </c>
      <c r="F277">
        <v>-0.67412139999999998</v>
      </c>
      <c r="G277" s="154">
        <v>10.728719999999999</v>
      </c>
    </row>
    <row r="278" spans="1:7" x14ac:dyDescent="0.25">
      <c r="A278" t="s">
        <v>133</v>
      </c>
      <c r="B278" t="s">
        <v>324</v>
      </c>
      <c r="C278" t="s">
        <v>1308</v>
      </c>
      <c r="D278">
        <v>-3.6322540000000001</v>
      </c>
      <c r="E278">
        <v>2.3866589999999999</v>
      </c>
      <c r="F278">
        <v>-1.2455940000000001</v>
      </c>
      <c r="G278" s="154">
        <v>11.89593</v>
      </c>
    </row>
    <row r="279" spans="1:7" x14ac:dyDescent="0.25">
      <c r="A279" t="s">
        <v>133</v>
      </c>
      <c r="B279" t="s">
        <v>324</v>
      </c>
      <c r="C279" t="s">
        <v>1309</v>
      </c>
      <c r="D279">
        <v>-3.2470460000000001</v>
      </c>
      <c r="E279">
        <v>2.3422079999999998</v>
      </c>
      <c r="F279">
        <v>-0.90483800000000003</v>
      </c>
      <c r="G279" s="154">
        <v>10.97953</v>
      </c>
    </row>
    <row r="280" spans="1:7" x14ac:dyDescent="0.25">
      <c r="A280" t="s">
        <v>133</v>
      </c>
      <c r="B280" t="s">
        <v>324</v>
      </c>
      <c r="C280" t="s">
        <v>1310</v>
      </c>
      <c r="D280">
        <v>-3.1873659999999999</v>
      </c>
      <c r="E280">
        <v>2.1111369999999998</v>
      </c>
      <c r="F280">
        <v>-1.076228</v>
      </c>
      <c r="G280" s="154">
        <v>11.105969999999999</v>
      </c>
    </row>
    <row r="281" spans="1:7" x14ac:dyDescent="0.25">
      <c r="A281" t="s">
        <v>133</v>
      </c>
      <c r="B281" t="s">
        <v>324</v>
      </c>
      <c r="C281" t="s">
        <v>1311</v>
      </c>
      <c r="D281">
        <v>-2.9526020000000002</v>
      </c>
      <c r="E281">
        <v>2.1702300000000001</v>
      </c>
      <c r="F281">
        <v>-0.78237190000000001</v>
      </c>
      <c r="G281" s="154">
        <v>10.886670000000001</v>
      </c>
    </row>
    <row r="282" spans="1:7" x14ac:dyDescent="0.25">
      <c r="A282" t="s">
        <v>133</v>
      </c>
      <c r="B282" t="s">
        <v>324</v>
      </c>
      <c r="C282" t="s">
        <v>1312</v>
      </c>
      <c r="D282">
        <v>-3.068676</v>
      </c>
      <c r="E282">
        <v>2.2694969999999999</v>
      </c>
      <c r="F282">
        <v>-0.79917879999999997</v>
      </c>
      <c r="G282" s="154">
        <v>11.03424</v>
      </c>
    </row>
    <row r="283" spans="1:7" x14ac:dyDescent="0.25">
      <c r="A283" t="s">
        <v>133</v>
      </c>
      <c r="B283" t="s">
        <v>324</v>
      </c>
      <c r="C283" t="s">
        <v>1313</v>
      </c>
      <c r="D283">
        <v>-2.866476</v>
      </c>
      <c r="E283">
        <v>2.1516980000000001</v>
      </c>
      <c r="F283">
        <v>-0.71477840000000004</v>
      </c>
      <c r="G283" s="154">
        <v>11.362830000000001</v>
      </c>
    </row>
    <row r="284" spans="1:7" x14ac:dyDescent="0.25">
      <c r="A284" t="s">
        <v>133</v>
      </c>
      <c r="B284" t="s">
        <v>324</v>
      </c>
      <c r="C284" t="s">
        <v>1314</v>
      </c>
      <c r="D284">
        <v>-3.1675800000000001</v>
      </c>
      <c r="E284">
        <v>2.1505580000000002</v>
      </c>
      <c r="F284">
        <v>-1.0170220000000001</v>
      </c>
      <c r="G284" s="154">
        <v>11.204980000000001</v>
      </c>
    </row>
    <row r="285" spans="1:7" x14ac:dyDescent="0.25">
      <c r="A285" t="s">
        <v>133</v>
      </c>
      <c r="B285" t="s">
        <v>324</v>
      </c>
      <c r="C285" t="s">
        <v>1315</v>
      </c>
      <c r="D285">
        <v>-2.95147</v>
      </c>
      <c r="E285">
        <v>2.1324360000000002</v>
      </c>
      <c r="F285">
        <v>-0.81903400000000004</v>
      </c>
      <c r="G285" s="154">
        <v>10.92995</v>
      </c>
    </row>
    <row r="286" spans="1:7" x14ac:dyDescent="0.25">
      <c r="A286" t="s">
        <v>133</v>
      </c>
      <c r="B286" t="s">
        <v>324</v>
      </c>
      <c r="C286" t="s">
        <v>1316</v>
      </c>
      <c r="D286">
        <v>-2.8334130000000002</v>
      </c>
      <c r="E286">
        <v>2.1973319999999998</v>
      </c>
      <c r="F286">
        <v>-0.63608120000000001</v>
      </c>
      <c r="G286" s="154">
        <v>10.839410000000001</v>
      </c>
    </row>
    <row r="287" spans="1:7" x14ac:dyDescent="0.25">
      <c r="A287" t="s">
        <v>133</v>
      </c>
      <c r="B287" t="s">
        <v>324</v>
      </c>
      <c r="C287" t="s">
        <v>1317</v>
      </c>
      <c r="D287">
        <v>-2.8534380000000001</v>
      </c>
      <c r="E287">
        <v>2.2176610000000001</v>
      </c>
      <c r="F287">
        <v>-0.63577720000000004</v>
      </c>
      <c r="G287" s="154">
        <v>12.102600000000001</v>
      </c>
    </row>
    <row r="288" spans="1:7" x14ac:dyDescent="0.25">
      <c r="A288" t="s">
        <v>133</v>
      </c>
      <c r="B288" t="s">
        <v>324</v>
      </c>
      <c r="C288" t="s">
        <v>1318</v>
      </c>
      <c r="D288">
        <v>-3.221816</v>
      </c>
      <c r="E288">
        <v>2.2971550000000001</v>
      </c>
      <c r="F288">
        <v>-0.92466099999999996</v>
      </c>
      <c r="G288" s="154">
        <v>11.284800000000001</v>
      </c>
    </row>
    <row r="289" spans="1:7" x14ac:dyDescent="0.25">
      <c r="A289" t="s">
        <v>133</v>
      </c>
      <c r="B289" t="s">
        <v>324</v>
      </c>
      <c r="C289" t="s">
        <v>1319</v>
      </c>
      <c r="D289">
        <v>-3.1301559999999999</v>
      </c>
      <c r="E289">
        <v>2.1887210000000001</v>
      </c>
      <c r="F289">
        <v>-0.94143429999999995</v>
      </c>
      <c r="G289" s="154">
        <v>11.188969999999999</v>
      </c>
    </row>
    <row r="290" spans="1:7" x14ac:dyDescent="0.25">
      <c r="A290" t="s">
        <v>133</v>
      </c>
      <c r="B290" t="s">
        <v>324</v>
      </c>
      <c r="C290" t="s">
        <v>1320</v>
      </c>
      <c r="D290">
        <v>-3.104149</v>
      </c>
      <c r="E290">
        <v>2.2323339999999998</v>
      </c>
      <c r="F290">
        <v>-0.87181529999999996</v>
      </c>
      <c r="G290" s="154">
        <v>11.37318</v>
      </c>
    </row>
    <row r="291" spans="1:7" x14ac:dyDescent="0.25">
      <c r="A291" t="s">
        <v>163</v>
      </c>
      <c r="B291" t="s">
        <v>327</v>
      </c>
      <c r="C291" t="s">
        <v>1321</v>
      </c>
      <c r="D291">
        <v>-5.370914</v>
      </c>
      <c r="E291">
        <v>1.721077</v>
      </c>
      <c r="F291">
        <v>-2.5981860000000001</v>
      </c>
      <c r="G291" s="154">
        <v>11.4072</v>
      </c>
    </row>
    <row r="292" spans="1:7" x14ac:dyDescent="0.25">
      <c r="A292" t="s">
        <v>163</v>
      </c>
      <c r="B292" t="s">
        <v>327</v>
      </c>
      <c r="C292" t="s">
        <v>1322</v>
      </c>
      <c r="D292">
        <v>-5.3838999999999997</v>
      </c>
      <c r="E292">
        <v>1.5184679999999999</v>
      </c>
      <c r="F292">
        <v>-2.7979430000000001</v>
      </c>
      <c r="G292" s="154">
        <v>10.585380000000001</v>
      </c>
    </row>
    <row r="293" spans="1:7" x14ac:dyDescent="0.25">
      <c r="A293" t="s">
        <v>163</v>
      </c>
      <c r="B293" t="s">
        <v>327</v>
      </c>
      <c r="C293" t="s">
        <v>1323</v>
      </c>
      <c r="D293">
        <v>-5.0443670000000003</v>
      </c>
      <c r="E293">
        <v>1.6245480000000001</v>
      </c>
      <c r="F293">
        <v>-2.3415270000000001</v>
      </c>
      <c r="G293" s="154">
        <v>10.89096</v>
      </c>
    </row>
    <row r="294" spans="1:7" x14ac:dyDescent="0.25">
      <c r="A294" t="s">
        <v>163</v>
      </c>
      <c r="B294" t="s">
        <v>327</v>
      </c>
      <c r="C294" t="s">
        <v>1324</v>
      </c>
      <c r="D294">
        <v>-5.4754310000000004</v>
      </c>
      <c r="E294">
        <v>1.6193519999999999</v>
      </c>
      <c r="F294">
        <v>-2.6869670000000001</v>
      </c>
      <c r="G294" s="154">
        <v>10.93356</v>
      </c>
    </row>
    <row r="295" spans="1:7" x14ac:dyDescent="0.25">
      <c r="A295" t="s">
        <v>157</v>
      </c>
      <c r="B295" t="s">
        <v>328</v>
      </c>
      <c r="C295" t="s">
        <v>1325</v>
      </c>
      <c r="D295">
        <v>-5.5789350000000004</v>
      </c>
      <c r="E295">
        <v>1.9066110000000001</v>
      </c>
      <c r="F295">
        <v>-2.5801189999999998</v>
      </c>
      <c r="G295" s="154">
        <v>11.04448</v>
      </c>
    </row>
    <row r="296" spans="1:7" x14ac:dyDescent="0.25">
      <c r="A296" t="s">
        <v>157</v>
      </c>
      <c r="B296" t="s">
        <v>328</v>
      </c>
      <c r="C296" t="s">
        <v>1326</v>
      </c>
      <c r="D296">
        <v>-5.3509180000000001</v>
      </c>
      <c r="E296">
        <v>1.539417</v>
      </c>
      <c r="F296">
        <v>-3.076025</v>
      </c>
      <c r="G296" s="154">
        <v>9.7565709999999992</v>
      </c>
    </row>
    <row r="297" spans="1:7" x14ac:dyDescent="0.25">
      <c r="A297" t="s">
        <v>157</v>
      </c>
      <c r="B297" t="s">
        <v>328</v>
      </c>
      <c r="C297" t="s">
        <v>1327</v>
      </c>
      <c r="D297">
        <v>-5.2876719999999997</v>
      </c>
      <c r="E297">
        <v>1.626482</v>
      </c>
      <c r="F297">
        <v>-2.7363219999999999</v>
      </c>
      <c r="G297" s="154">
        <v>10.17052</v>
      </c>
    </row>
    <row r="298" spans="1:7" x14ac:dyDescent="0.25">
      <c r="A298" t="s">
        <v>157</v>
      </c>
      <c r="B298" t="s">
        <v>328</v>
      </c>
      <c r="C298" t="s">
        <v>1328</v>
      </c>
      <c r="D298">
        <v>-5.3872730000000004</v>
      </c>
      <c r="E298">
        <v>1.9032450000000001</v>
      </c>
      <c r="F298">
        <v>-2.7040920000000002</v>
      </c>
      <c r="G298" s="154">
        <v>9.4606239999999993</v>
      </c>
    </row>
    <row r="299" spans="1:7" x14ac:dyDescent="0.25">
      <c r="A299" t="s">
        <v>157</v>
      </c>
      <c r="B299" t="s">
        <v>328</v>
      </c>
      <c r="C299" t="s">
        <v>1329</v>
      </c>
      <c r="D299">
        <v>-5.4955629999999998</v>
      </c>
      <c r="E299">
        <v>1.732345</v>
      </c>
      <c r="F299">
        <v>-2.8692660000000001</v>
      </c>
      <c r="G299" s="154">
        <v>10.75404</v>
      </c>
    </row>
    <row r="300" spans="1:7" x14ac:dyDescent="0.25">
      <c r="A300" t="s">
        <v>157</v>
      </c>
      <c r="B300" t="s">
        <v>328</v>
      </c>
      <c r="C300" t="s">
        <v>1104</v>
      </c>
      <c r="D300">
        <v>-5.4919719999999996</v>
      </c>
      <c r="E300">
        <v>1.85782</v>
      </c>
      <c r="F300">
        <v>-2.6985169999999998</v>
      </c>
      <c r="G300" s="154">
        <v>9.2658389999999997</v>
      </c>
    </row>
    <row r="301" spans="1:7" x14ac:dyDescent="0.25">
      <c r="A301" t="s">
        <v>157</v>
      </c>
      <c r="B301" t="s">
        <v>328</v>
      </c>
      <c r="C301" t="s">
        <v>1330</v>
      </c>
      <c r="D301">
        <v>-5.4331620000000003</v>
      </c>
      <c r="E301">
        <v>1.843261</v>
      </c>
      <c r="F301">
        <v>-2.6849829999999999</v>
      </c>
      <c r="G301" s="154">
        <v>9.931362</v>
      </c>
    </row>
    <row r="302" spans="1:7" x14ac:dyDescent="0.25">
      <c r="A302" t="s">
        <v>157</v>
      </c>
      <c r="B302" t="s">
        <v>328</v>
      </c>
      <c r="C302" t="s">
        <v>1331</v>
      </c>
      <c r="D302">
        <v>-5.1603649999999996</v>
      </c>
      <c r="E302">
        <v>1.027498</v>
      </c>
      <c r="F302">
        <v>-4.0728850000000003</v>
      </c>
      <c r="G302" s="154">
        <v>8.4025239999999997</v>
      </c>
    </row>
    <row r="303" spans="1:7" x14ac:dyDescent="0.25">
      <c r="A303" t="s">
        <v>157</v>
      </c>
      <c r="B303" t="s">
        <v>328</v>
      </c>
      <c r="C303" t="s">
        <v>1332</v>
      </c>
      <c r="D303">
        <v>-5.2493660000000002</v>
      </c>
      <c r="E303">
        <v>1.7648440000000001</v>
      </c>
      <c r="F303">
        <v>-2.6032099999999998</v>
      </c>
      <c r="G303" s="154">
        <v>10.3589</v>
      </c>
    </row>
    <row r="304" spans="1:7" x14ac:dyDescent="0.25">
      <c r="A304" t="s">
        <v>157</v>
      </c>
      <c r="B304" t="s">
        <v>328</v>
      </c>
      <c r="C304" t="s">
        <v>1333</v>
      </c>
      <c r="D304">
        <v>-5.4265850000000002</v>
      </c>
      <c r="E304">
        <v>1.8761300000000001</v>
      </c>
      <c r="F304">
        <v>-2.9978699999999998</v>
      </c>
      <c r="G304" s="154">
        <v>11.087669999999999</v>
      </c>
    </row>
    <row r="305" spans="1:7" x14ac:dyDescent="0.25">
      <c r="A305" t="s">
        <v>157</v>
      </c>
      <c r="B305" t="s">
        <v>328</v>
      </c>
      <c r="C305" t="s">
        <v>1334</v>
      </c>
      <c r="D305">
        <v>-5.3897519999999997</v>
      </c>
      <c r="E305">
        <v>1.2632129999999999</v>
      </c>
      <c r="F305">
        <v>-3.6586919999999998</v>
      </c>
      <c r="G305" s="154">
        <v>9.9033990000000003</v>
      </c>
    </row>
    <row r="306" spans="1:7" x14ac:dyDescent="0.25">
      <c r="A306" t="s">
        <v>157</v>
      </c>
      <c r="B306" t="s">
        <v>328</v>
      </c>
      <c r="C306" t="s">
        <v>1335</v>
      </c>
      <c r="D306">
        <v>-5.3663350000000003</v>
      </c>
      <c r="E306">
        <v>1.615696</v>
      </c>
      <c r="F306">
        <v>-2.8899819999999998</v>
      </c>
      <c r="G306" s="154">
        <v>9.5275680000000005</v>
      </c>
    </row>
    <row r="307" spans="1:7" x14ac:dyDescent="0.25">
      <c r="A307" t="s">
        <v>157</v>
      </c>
      <c r="B307" t="s">
        <v>328</v>
      </c>
      <c r="C307" t="s">
        <v>1336</v>
      </c>
      <c r="D307">
        <v>-5.5958199999999998</v>
      </c>
      <c r="E307">
        <v>1.8242579999999999</v>
      </c>
      <c r="F307">
        <v>-2.8656229999999998</v>
      </c>
      <c r="G307" s="154">
        <v>9.2579019999999996</v>
      </c>
    </row>
    <row r="308" spans="1:7" x14ac:dyDescent="0.25">
      <c r="A308" t="s">
        <v>157</v>
      </c>
      <c r="B308" t="s">
        <v>328</v>
      </c>
      <c r="C308" t="s">
        <v>1337</v>
      </c>
      <c r="D308">
        <v>-5.5047480000000002</v>
      </c>
      <c r="E308">
        <v>1.7318899999999999</v>
      </c>
      <c r="F308">
        <v>-2.7786659999999999</v>
      </c>
      <c r="G308" s="154">
        <v>9.7918029999999998</v>
      </c>
    </row>
    <row r="309" spans="1:7" x14ac:dyDescent="0.25">
      <c r="A309" t="s">
        <v>157</v>
      </c>
      <c r="B309" t="s">
        <v>328</v>
      </c>
      <c r="C309" t="s">
        <v>1338</v>
      </c>
      <c r="D309">
        <v>-5.3270629999999999</v>
      </c>
      <c r="E309">
        <v>1.5704659999999999</v>
      </c>
      <c r="F309">
        <v>-2.99491</v>
      </c>
      <c r="G309" s="154">
        <v>10.5579</v>
      </c>
    </row>
    <row r="310" spans="1:7" x14ac:dyDescent="0.25">
      <c r="A310" t="s">
        <v>157</v>
      </c>
      <c r="B310" t="s">
        <v>328</v>
      </c>
      <c r="C310" t="s">
        <v>1339</v>
      </c>
      <c r="E310">
        <v>1.9487220000000001</v>
      </c>
      <c r="G310" s="154">
        <v>9.6299609999999998</v>
      </c>
    </row>
    <row r="311" spans="1:7" x14ac:dyDescent="0.25">
      <c r="A311" t="s">
        <v>157</v>
      </c>
      <c r="B311" t="s">
        <v>328</v>
      </c>
      <c r="C311" t="s">
        <v>1340</v>
      </c>
      <c r="E311">
        <v>1.876844</v>
      </c>
      <c r="G311" s="154">
        <v>10.001340000000001</v>
      </c>
    </row>
    <row r="312" spans="1:7" x14ac:dyDescent="0.25">
      <c r="A312" t="s">
        <v>157</v>
      </c>
      <c r="B312" t="s">
        <v>328</v>
      </c>
      <c r="C312" t="s">
        <v>1341</v>
      </c>
      <c r="D312">
        <v>-5.6936650000000002</v>
      </c>
      <c r="E312">
        <v>1.912585</v>
      </c>
      <c r="F312">
        <v>-2.7103160000000002</v>
      </c>
      <c r="G312" s="154">
        <v>9.1976490000000002</v>
      </c>
    </row>
    <row r="313" spans="1:7" x14ac:dyDescent="0.25">
      <c r="A313" t="s">
        <v>157</v>
      </c>
      <c r="B313" t="s">
        <v>328</v>
      </c>
      <c r="C313" t="s">
        <v>1342</v>
      </c>
      <c r="D313">
        <v>-5.3952910000000003</v>
      </c>
      <c r="E313">
        <v>1.62677</v>
      </c>
      <c r="F313">
        <v>-2.8754650000000002</v>
      </c>
      <c r="G313" s="154">
        <v>9.7772070000000006</v>
      </c>
    </row>
    <row r="314" spans="1:7" x14ac:dyDescent="0.25">
      <c r="A314" t="s">
        <v>157</v>
      </c>
      <c r="B314" t="s">
        <v>328</v>
      </c>
      <c r="C314" t="s">
        <v>1343</v>
      </c>
      <c r="D314">
        <v>-5.3046559999999996</v>
      </c>
      <c r="E314">
        <v>1.323188</v>
      </c>
      <c r="F314">
        <v>-3.454307</v>
      </c>
      <c r="G314" s="154">
        <v>10.10693</v>
      </c>
    </row>
    <row r="315" spans="1:7" x14ac:dyDescent="0.25">
      <c r="A315" t="s">
        <v>157</v>
      </c>
      <c r="B315" t="s">
        <v>328</v>
      </c>
      <c r="C315" t="s">
        <v>1344</v>
      </c>
      <c r="D315">
        <v>-5.2025990000000002</v>
      </c>
      <c r="E315">
        <v>1.7255739999999999</v>
      </c>
      <c r="F315">
        <v>-2.6068790000000002</v>
      </c>
      <c r="G315" s="154">
        <v>9.9523530000000004</v>
      </c>
    </row>
    <row r="316" spans="1:7" x14ac:dyDescent="0.25">
      <c r="A316" t="s">
        <v>157</v>
      </c>
      <c r="B316" t="s">
        <v>328</v>
      </c>
      <c r="C316" t="s">
        <v>1345</v>
      </c>
      <c r="D316">
        <v>-5.6644430000000003</v>
      </c>
      <c r="E316">
        <v>1.9523280000000001</v>
      </c>
      <c r="F316">
        <v>-2.7230129999999999</v>
      </c>
      <c r="G316" s="154">
        <v>9.1846619999999994</v>
      </c>
    </row>
    <row r="317" spans="1:7" x14ac:dyDescent="0.25">
      <c r="A317" t="s">
        <v>166</v>
      </c>
      <c r="B317" t="s">
        <v>441</v>
      </c>
      <c r="C317" t="s">
        <v>1346</v>
      </c>
      <c r="D317">
        <v>-5.711932</v>
      </c>
      <c r="E317">
        <v>6.8171600000000003</v>
      </c>
      <c r="F317">
        <v>-2.6636000000000002</v>
      </c>
      <c r="G317" s="154">
        <v>11.27256</v>
      </c>
    </row>
    <row r="318" spans="1:7" x14ac:dyDescent="0.25">
      <c r="A318" t="s">
        <v>166</v>
      </c>
      <c r="B318" t="s">
        <v>441</v>
      </c>
      <c r="C318" t="s">
        <v>1347</v>
      </c>
      <c r="D318">
        <v>-5.7769630000000003</v>
      </c>
      <c r="E318">
        <v>6.3683360000000002</v>
      </c>
      <c r="F318">
        <v>-3.045382</v>
      </c>
      <c r="G318" s="154">
        <v>10.84545</v>
      </c>
    </row>
    <row r="319" spans="1:7" x14ac:dyDescent="0.25">
      <c r="A319" t="s">
        <v>166</v>
      </c>
      <c r="B319" t="s">
        <v>441</v>
      </c>
      <c r="C319" t="s">
        <v>1348</v>
      </c>
      <c r="D319">
        <v>-6.0416150000000002</v>
      </c>
      <c r="E319">
        <v>4.339283</v>
      </c>
      <c r="F319">
        <v>-3.6500490000000001</v>
      </c>
      <c r="G319" s="154">
        <v>11.484120000000001</v>
      </c>
    </row>
    <row r="320" spans="1:7" x14ac:dyDescent="0.25">
      <c r="A320" t="s">
        <v>166</v>
      </c>
      <c r="B320" t="s">
        <v>441</v>
      </c>
      <c r="C320" t="s">
        <v>1349</v>
      </c>
      <c r="D320">
        <v>-6.2272980000000002</v>
      </c>
      <c r="E320">
        <v>4.8481379999999996</v>
      </c>
      <c r="F320">
        <v>-2.9637250000000002</v>
      </c>
      <c r="G320" s="154">
        <v>11.80194</v>
      </c>
    </row>
    <row r="321" spans="1:7" x14ac:dyDescent="0.25">
      <c r="A321" t="s">
        <v>166</v>
      </c>
      <c r="B321" t="s">
        <v>441</v>
      </c>
      <c r="C321" t="s">
        <v>1350</v>
      </c>
      <c r="D321">
        <v>-5.954002</v>
      </c>
      <c r="E321">
        <v>11.4963</v>
      </c>
      <c r="F321">
        <v>-2.8728389999999999</v>
      </c>
      <c r="G321" s="154">
        <v>11.13679</v>
      </c>
    </row>
    <row r="322" spans="1:7" x14ac:dyDescent="0.25">
      <c r="A322" t="s">
        <v>166</v>
      </c>
      <c r="B322" t="s">
        <v>441</v>
      </c>
      <c r="C322" t="s">
        <v>1351</v>
      </c>
      <c r="D322">
        <v>-5.8910020000000003</v>
      </c>
      <c r="E322">
        <v>2.1255030000000001</v>
      </c>
      <c r="F322">
        <v>-2.9310350000000001</v>
      </c>
      <c r="G322" s="154">
        <v>11.02975</v>
      </c>
    </row>
    <row r="323" spans="1:7" x14ac:dyDescent="0.25">
      <c r="A323" t="s">
        <v>166</v>
      </c>
      <c r="B323" t="s">
        <v>441</v>
      </c>
      <c r="C323" t="s">
        <v>1352</v>
      </c>
      <c r="D323">
        <v>-6.226159</v>
      </c>
      <c r="E323">
        <v>9.4041639999999997</v>
      </c>
      <c r="F323">
        <v>-3.1192280000000001</v>
      </c>
      <c r="G323" s="154">
        <v>12.036020000000001</v>
      </c>
    </row>
    <row r="324" spans="1:7" x14ac:dyDescent="0.25">
      <c r="A324" t="s">
        <v>166</v>
      </c>
      <c r="B324" t="s">
        <v>441</v>
      </c>
      <c r="C324" t="s">
        <v>1353</v>
      </c>
      <c r="D324">
        <v>-5.8711029999999997</v>
      </c>
      <c r="E324">
        <v>8.465363</v>
      </c>
      <c r="F324">
        <v>-3.2039279999999999</v>
      </c>
      <c r="G324" s="154">
        <v>12.15103</v>
      </c>
    </row>
    <row r="325" spans="1:7" x14ac:dyDescent="0.25">
      <c r="A325" t="s">
        <v>166</v>
      </c>
      <c r="B325" t="s">
        <v>441</v>
      </c>
      <c r="C325" t="s">
        <v>1354</v>
      </c>
      <c r="D325">
        <v>-5.8391640000000002</v>
      </c>
      <c r="E325">
        <v>8.4768679999999996</v>
      </c>
      <c r="F325">
        <v>-2.9584229999999998</v>
      </c>
      <c r="G325" s="154">
        <v>12.029210000000001</v>
      </c>
    </row>
    <row r="326" spans="1:7" x14ac:dyDescent="0.25">
      <c r="A326" t="s">
        <v>166</v>
      </c>
      <c r="B326" t="s">
        <v>441</v>
      </c>
      <c r="C326" t="s">
        <v>1355</v>
      </c>
      <c r="D326">
        <v>-6.0682359999999997</v>
      </c>
      <c r="E326">
        <v>4.5327869999999999</v>
      </c>
      <c r="F326">
        <v>-2.8868680000000002</v>
      </c>
      <c r="G326" s="154">
        <v>11.774760000000001</v>
      </c>
    </row>
    <row r="327" spans="1:7" x14ac:dyDescent="0.25">
      <c r="A327" t="s">
        <v>166</v>
      </c>
      <c r="B327" t="s">
        <v>441</v>
      </c>
      <c r="C327" t="s">
        <v>1356</v>
      </c>
      <c r="D327">
        <v>-5.6930170000000002</v>
      </c>
      <c r="E327">
        <v>6.764856</v>
      </c>
      <c r="F327">
        <v>-2.757063</v>
      </c>
      <c r="G327" s="154">
        <v>11.409739999999999</v>
      </c>
    </row>
    <row r="328" spans="1:7" x14ac:dyDescent="0.25">
      <c r="A328" t="s">
        <v>166</v>
      </c>
      <c r="B328" t="s">
        <v>441</v>
      </c>
      <c r="C328" t="s">
        <v>1357</v>
      </c>
      <c r="D328">
        <v>-5.8592979999999999</v>
      </c>
      <c r="E328">
        <v>9.2077919999999995</v>
      </c>
      <c r="F328">
        <v>-2.790848</v>
      </c>
      <c r="G328" s="154">
        <v>10.4222</v>
      </c>
    </row>
    <row r="329" spans="1:7" x14ac:dyDescent="0.25">
      <c r="A329" t="s">
        <v>79</v>
      </c>
      <c r="B329" t="s">
        <v>332</v>
      </c>
      <c r="C329" t="s">
        <v>1358</v>
      </c>
      <c r="D329">
        <v>-4.9311109999999996</v>
      </c>
      <c r="E329">
        <v>2.3040470000000002</v>
      </c>
      <c r="F329">
        <v>-2.6270639999999998</v>
      </c>
      <c r="G329" s="154">
        <v>10.86961</v>
      </c>
    </row>
    <row r="330" spans="1:7" x14ac:dyDescent="0.25">
      <c r="A330" t="s">
        <v>79</v>
      </c>
      <c r="B330" t="s">
        <v>332</v>
      </c>
      <c r="C330" t="s">
        <v>1359</v>
      </c>
      <c r="D330">
        <v>-5.5628719999999996</v>
      </c>
      <c r="E330">
        <v>1.763614</v>
      </c>
      <c r="F330">
        <v>-3.7992590000000002</v>
      </c>
      <c r="G330" s="154">
        <v>10.634069999999999</v>
      </c>
    </row>
    <row r="331" spans="1:7" x14ac:dyDescent="0.25">
      <c r="A331" t="s">
        <v>79</v>
      </c>
      <c r="B331" t="s">
        <v>332</v>
      </c>
      <c r="C331" t="s">
        <v>1360</v>
      </c>
      <c r="D331">
        <v>-5.3125410000000004</v>
      </c>
      <c r="E331">
        <v>2.2607889999999999</v>
      </c>
      <c r="F331">
        <v>-3.051752</v>
      </c>
      <c r="G331" s="154">
        <v>11.177670000000001</v>
      </c>
    </row>
    <row r="332" spans="1:7" x14ac:dyDescent="0.25">
      <c r="A332" t="s">
        <v>79</v>
      </c>
      <c r="B332" t="s">
        <v>332</v>
      </c>
      <c r="C332" t="s">
        <v>1361</v>
      </c>
      <c r="D332">
        <v>-5.5253889999999997</v>
      </c>
      <c r="E332">
        <v>2.0367449999999998</v>
      </c>
      <c r="F332">
        <v>-3.4886439999999999</v>
      </c>
      <c r="G332" s="154">
        <v>10.56718</v>
      </c>
    </row>
    <row r="333" spans="1:7" x14ac:dyDescent="0.25">
      <c r="A333" t="s">
        <v>79</v>
      </c>
      <c r="B333" t="s">
        <v>332</v>
      </c>
      <c r="C333" t="s">
        <v>1362</v>
      </c>
      <c r="D333">
        <v>-5.5029139999999996</v>
      </c>
      <c r="E333">
        <v>2.55287</v>
      </c>
      <c r="F333">
        <v>-2.9500449999999998</v>
      </c>
      <c r="G333" s="154">
        <v>10.34042</v>
      </c>
    </row>
    <row r="334" spans="1:7" x14ac:dyDescent="0.25">
      <c r="A334" t="s">
        <v>79</v>
      </c>
      <c r="B334" t="s">
        <v>332</v>
      </c>
      <c r="C334" t="s">
        <v>1363</v>
      </c>
      <c r="D334">
        <v>-5.8577570000000003</v>
      </c>
      <c r="E334">
        <v>2.3855029999999999</v>
      </c>
      <c r="F334">
        <v>-3.472254</v>
      </c>
      <c r="G334" s="154">
        <v>10.477539999999999</v>
      </c>
    </row>
    <row r="335" spans="1:7" x14ac:dyDescent="0.25">
      <c r="A335" t="s">
        <v>79</v>
      </c>
      <c r="B335" t="s">
        <v>332</v>
      </c>
      <c r="C335" t="s">
        <v>1364</v>
      </c>
      <c r="D335">
        <v>-5.3307570000000002</v>
      </c>
      <c r="E335">
        <v>1.3821019999999999</v>
      </c>
      <c r="F335">
        <v>-3.9486539999999999</v>
      </c>
      <c r="G335" s="154">
        <v>10.72301</v>
      </c>
    </row>
    <row r="336" spans="1:7" x14ac:dyDescent="0.25">
      <c r="A336" t="s">
        <v>79</v>
      </c>
      <c r="B336" t="s">
        <v>332</v>
      </c>
      <c r="C336" t="s">
        <v>1365</v>
      </c>
      <c r="D336">
        <v>-5.590738</v>
      </c>
      <c r="E336">
        <v>2.4449000000000001</v>
      </c>
      <c r="F336">
        <v>-3.1458390000000001</v>
      </c>
      <c r="G336" s="154">
        <v>11.12022</v>
      </c>
    </row>
    <row r="337" spans="1:7" x14ac:dyDescent="0.25">
      <c r="A337" t="s">
        <v>79</v>
      </c>
      <c r="B337" t="s">
        <v>332</v>
      </c>
      <c r="C337" t="s">
        <v>1366</v>
      </c>
      <c r="D337">
        <v>-5.7358060000000002</v>
      </c>
      <c r="E337">
        <v>1.901653</v>
      </c>
      <c r="F337">
        <v>-3.8341539999999998</v>
      </c>
      <c r="G337" s="154">
        <v>10.33606</v>
      </c>
    </row>
    <row r="338" spans="1:7" x14ac:dyDescent="0.25">
      <c r="A338" t="s">
        <v>79</v>
      </c>
      <c r="B338" t="s">
        <v>332</v>
      </c>
      <c r="C338" t="s">
        <v>1367</v>
      </c>
      <c r="D338">
        <v>-5.5369039999999998</v>
      </c>
      <c r="E338">
        <v>2.1522130000000002</v>
      </c>
      <c r="F338">
        <v>-3.3846910000000001</v>
      </c>
      <c r="G338" s="154">
        <v>10.680899999999999</v>
      </c>
    </row>
    <row r="339" spans="1:7" x14ac:dyDescent="0.25">
      <c r="A339" t="s">
        <v>79</v>
      </c>
      <c r="B339" t="s">
        <v>332</v>
      </c>
      <c r="C339" t="s">
        <v>1368</v>
      </c>
      <c r="D339">
        <v>-4.6729039999999999</v>
      </c>
      <c r="E339">
        <v>3.0866880000000001</v>
      </c>
      <c r="F339">
        <v>-1.586217</v>
      </c>
      <c r="G339" s="154">
        <v>12.49535</v>
      </c>
    </row>
    <row r="340" spans="1:7" x14ac:dyDescent="0.25">
      <c r="A340" t="s">
        <v>60</v>
      </c>
      <c r="B340" t="s">
        <v>334</v>
      </c>
      <c r="C340" t="s">
        <v>1369</v>
      </c>
      <c r="D340">
        <v>-6.529026</v>
      </c>
      <c r="E340">
        <v>2.373008</v>
      </c>
      <c r="F340">
        <v>-4.1560189999999997</v>
      </c>
      <c r="G340" s="154">
        <v>4.6240459999999999</v>
      </c>
    </row>
    <row r="341" spans="1:7" x14ac:dyDescent="0.25">
      <c r="A341" t="s">
        <v>60</v>
      </c>
      <c r="B341" t="s">
        <v>334</v>
      </c>
      <c r="C341" t="s">
        <v>1370</v>
      </c>
      <c r="D341">
        <v>-7.0764360000000002</v>
      </c>
      <c r="E341">
        <v>2.1552229999999999</v>
      </c>
      <c r="F341">
        <v>-4.9212129999999998</v>
      </c>
      <c r="G341" s="154">
        <v>3.8305579999999999</v>
      </c>
    </row>
    <row r="342" spans="1:7" x14ac:dyDescent="0.25">
      <c r="A342" t="s">
        <v>60</v>
      </c>
      <c r="B342" t="s">
        <v>334</v>
      </c>
      <c r="C342" t="s">
        <v>1371</v>
      </c>
      <c r="D342">
        <v>-6.577331</v>
      </c>
      <c r="E342">
        <v>2.0337200000000002</v>
      </c>
      <c r="F342">
        <v>-4.5436110000000003</v>
      </c>
      <c r="G342" s="154">
        <v>3.5336419999999999</v>
      </c>
    </row>
    <row r="343" spans="1:7" x14ac:dyDescent="0.25">
      <c r="A343" t="s">
        <v>60</v>
      </c>
      <c r="B343" t="s">
        <v>334</v>
      </c>
      <c r="C343" t="s">
        <v>1347</v>
      </c>
      <c r="D343">
        <v>-6.6531409999999997</v>
      </c>
      <c r="E343">
        <v>2.1326520000000002</v>
      </c>
      <c r="F343">
        <v>-4.5204899999999997</v>
      </c>
      <c r="G343" s="154">
        <v>4.3044159999999998</v>
      </c>
    </row>
    <row r="344" spans="1:7" x14ac:dyDescent="0.25">
      <c r="A344" t="s">
        <v>60</v>
      </c>
      <c r="B344" t="s">
        <v>334</v>
      </c>
      <c r="C344" t="s">
        <v>1372</v>
      </c>
      <c r="D344">
        <v>-6.3233509999999997</v>
      </c>
      <c r="E344">
        <v>2.3839549999999998</v>
      </c>
      <c r="F344">
        <v>-3.9393959999999999</v>
      </c>
      <c r="G344" s="154">
        <v>6.0686790000000004</v>
      </c>
    </row>
    <row r="345" spans="1:7" x14ac:dyDescent="0.25">
      <c r="A345" t="s">
        <v>60</v>
      </c>
      <c r="B345" t="s">
        <v>334</v>
      </c>
      <c r="C345" t="s">
        <v>1373</v>
      </c>
      <c r="D345">
        <v>-7.4565210000000004</v>
      </c>
      <c r="E345">
        <v>2.4205640000000002</v>
      </c>
      <c r="F345">
        <v>-5.0359569999999998</v>
      </c>
      <c r="G345" s="154">
        <v>1.455579</v>
      </c>
    </row>
    <row r="346" spans="1:7" x14ac:dyDescent="0.25">
      <c r="A346" t="s">
        <v>60</v>
      </c>
      <c r="B346" t="s">
        <v>334</v>
      </c>
      <c r="C346" t="s">
        <v>1374</v>
      </c>
      <c r="D346">
        <v>-7.0820280000000002</v>
      </c>
      <c r="E346">
        <v>1.9205190000000001</v>
      </c>
      <c r="F346">
        <v>-5.1615089999999997</v>
      </c>
      <c r="G346" s="154">
        <v>1.3907020000000001</v>
      </c>
    </row>
    <row r="347" spans="1:7" x14ac:dyDescent="0.25">
      <c r="A347" t="s">
        <v>60</v>
      </c>
      <c r="B347" t="s">
        <v>334</v>
      </c>
      <c r="C347" t="s">
        <v>1375</v>
      </c>
      <c r="D347">
        <v>-7.3412090000000001</v>
      </c>
      <c r="E347">
        <v>1.9885539999999999</v>
      </c>
      <c r="F347">
        <v>-5.3526550000000004</v>
      </c>
      <c r="G347" s="154">
        <v>1.6716949999999999</v>
      </c>
    </row>
    <row r="348" spans="1:7" x14ac:dyDescent="0.25">
      <c r="A348" t="s">
        <v>60</v>
      </c>
      <c r="B348" t="s">
        <v>334</v>
      </c>
      <c r="C348" t="s">
        <v>1376</v>
      </c>
      <c r="D348">
        <v>-7.214442</v>
      </c>
      <c r="E348">
        <v>2.447854</v>
      </c>
      <c r="F348">
        <v>-4.7665879999999996</v>
      </c>
      <c r="G348" s="154">
        <v>3.9950619999999999</v>
      </c>
    </row>
    <row r="349" spans="1:7" x14ac:dyDescent="0.25">
      <c r="A349" t="s">
        <v>60</v>
      </c>
      <c r="B349" t="s">
        <v>334</v>
      </c>
      <c r="C349" t="s">
        <v>1377</v>
      </c>
      <c r="D349">
        <v>-7.0749360000000001</v>
      </c>
      <c r="E349">
        <v>2.8219569999999998</v>
      </c>
      <c r="F349">
        <v>-4.2529789999999998</v>
      </c>
      <c r="G349" s="154">
        <v>4.419943</v>
      </c>
    </row>
    <row r="350" spans="1:7" x14ac:dyDescent="0.25">
      <c r="A350" t="s">
        <v>147</v>
      </c>
      <c r="B350" t="s">
        <v>335</v>
      </c>
      <c r="C350" t="s">
        <v>1378</v>
      </c>
      <c r="D350">
        <v>-4.9860179999999996</v>
      </c>
      <c r="E350">
        <v>0.92912070000000002</v>
      </c>
      <c r="F350">
        <v>-3.354711</v>
      </c>
      <c r="G350" s="154">
        <v>7.8477759999999996</v>
      </c>
    </row>
    <row r="351" spans="1:7" x14ac:dyDescent="0.25">
      <c r="A351" t="s">
        <v>147</v>
      </c>
      <c r="B351" t="s">
        <v>335</v>
      </c>
      <c r="C351" t="s">
        <v>1379</v>
      </c>
      <c r="D351">
        <v>-4.6737570000000002</v>
      </c>
      <c r="E351">
        <v>1.0565260000000001</v>
      </c>
      <c r="F351">
        <v>-3.1814010000000001</v>
      </c>
      <c r="G351" s="154">
        <v>10.13613</v>
      </c>
    </row>
    <row r="352" spans="1:7" x14ac:dyDescent="0.25">
      <c r="A352" t="s">
        <v>147</v>
      </c>
      <c r="B352" t="s">
        <v>335</v>
      </c>
      <c r="C352" t="s">
        <v>1380</v>
      </c>
      <c r="D352">
        <v>-5.1117800000000004</v>
      </c>
      <c r="E352">
        <v>0.90383429999999998</v>
      </c>
      <c r="F352">
        <v>-3.784262</v>
      </c>
      <c r="G352" s="154">
        <v>8.9308139999999998</v>
      </c>
    </row>
    <row r="353" spans="1:7" x14ac:dyDescent="0.25">
      <c r="A353" t="s">
        <v>147</v>
      </c>
      <c r="B353" t="s">
        <v>335</v>
      </c>
      <c r="C353" t="s">
        <v>1381</v>
      </c>
      <c r="D353">
        <v>-4.1804110000000003</v>
      </c>
      <c r="E353">
        <v>0.91328350000000003</v>
      </c>
      <c r="F353">
        <v>-3.2745280000000001</v>
      </c>
      <c r="G353" s="154">
        <v>8.3334720000000004</v>
      </c>
    </row>
    <row r="354" spans="1:7" x14ac:dyDescent="0.25">
      <c r="A354" t="s">
        <v>147</v>
      </c>
      <c r="B354" t="s">
        <v>335</v>
      </c>
      <c r="C354" t="s">
        <v>1382</v>
      </c>
      <c r="D354">
        <v>-5.0022140000000004</v>
      </c>
      <c r="E354">
        <v>0.65918860000000001</v>
      </c>
      <c r="F354">
        <v>-4.2174829999999996</v>
      </c>
      <c r="G354" s="154">
        <v>8.2919339999999995</v>
      </c>
    </row>
    <row r="355" spans="1:7" x14ac:dyDescent="0.25">
      <c r="A355" t="s">
        <v>147</v>
      </c>
      <c r="B355" t="s">
        <v>335</v>
      </c>
      <c r="C355" t="s">
        <v>1383</v>
      </c>
      <c r="D355">
        <v>-4.8570419999999999</v>
      </c>
      <c r="E355">
        <v>0.80779939999999995</v>
      </c>
      <c r="F355">
        <v>-3.642452</v>
      </c>
      <c r="G355" s="154">
        <v>8.7158189999999998</v>
      </c>
    </row>
    <row r="356" spans="1:7" x14ac:dyDescent="0.25">
      <c r="A356" t="s">
        <v>147</v>
      </c>
      <c r="B356" t="s">
        <v>335</v>
      </c>
      <c r="C356" t="s">
        <v>1384</v>
      </c>
      <c r="D356">
        <v>-4.585966</v>
      </c>
      <c r="E356">
        <v>1.0287230000000001</v>
      </c>
      <c r="F356">
        <v>-3.1262180000000002</v>
      </c>
      <c r="G356" s="154">
        <v>9.1199580000000005</v>
      </c>
    </row>
    <row r="357" spans="1:7" x14ac:dyDescent="0.25">
      <c r="A357" t="s">
        <v>147</v>
      </c>
      <c r="B357" t="s">
        <v>335</v>
      </c>
      <c r="C357" t="s">
        <v>1385</v>
      </c>
      <c r="D357">
        <v>-4.8852880000000001</v>
      </c>
      <c r="E357">
        <v>1.0800449999999999</v>
      </c>
      <c r="F357">
        <v>-3.7526030000000001</v>
      </c>
      <c r="G357" s="154">
        <v>9.4336389999999994</v>
      </c>
    </row>
    <row r="358" spans="1:7" x14ac:dyDescent="0.25">
      <c r="A358" t="s">
        <v>147</v>
      </c>
      <c r="B358" t="s">
        <v>335</v>
      </c>
      <c r="C358" t="s">
        <v>1386</v>
      </c>
      <c r="D358">
        <v>-4.9279909999999996</v>
      </c>
      <c r="E358">
        <v>0.75929840000000004</v>
      </c>
      <c r="F358">
        <v>-3.9456850000000001</v>
      </c>
      <c r="G358" s="154">
        <v>8.2402149999999992</v>
      </c>
    </row>
    <row r="359" spans="1:7" x14ac:dyDescent="0.25">
      <c r="A359" t="s">
        <v>147</v>
      </c>
      <c r="B359" t="s">
        <v>335</v>
      </c>
      <c r="C359" t="s">
        <v>1387</v>
      </c>
      <c r="D359">
        <v>-4.8974219999999997</v>
      </c>
      <c r="E359">
        <v>0.82697089999999995</v>
      </c>
      <c r="F359">
        <v>-3.5938880000000002</v>
      </c>
      <c r="G359" s="154">
        <v>8.1043699999999994</v>
      </c>
    </row>
    <row r="360" spans="1:7" x14ac:dyDescent="0.25">
      <c r="A360" t="s">
        <v>147</v>
      </c>
      <c r="B360" t="s">
        <v>335</v>
      </c>
      <c r="C360" t="s">
        <v>1388</v>
      </c>
      <c r="D360">
        <v>-5.0322589999999998</v>
      </c>
      <c r="E360">
        <v>1.0612699999999999</v>
      </c>
      <c r="F360">
        <v>-2.8670429999999998</v>
      </c>
      <c r="G360" s="154">
        <v>8.0126679999999997</v>
      </c>
    </row>
    <row r="361" spans="1:7" x14ac:dyDescent="0.25">
      <c r="A361" t="s">
        <v>147</v>
      </c>
      <c r="B361" t="s">
        <v>335</v>
      </c>
      <c r="C361" t="s">
        <v>1389</v>
      </c>
      <c r="D361">
        <v>-4.9028919999999996</v>
      </c>
      <c r="E361">
        <v>0.89205699999999999</v>
      </c>
      <c r="F361">
        <v>-3.4020060000000001</v>
      </c>
      <c r="G361" s="154">
        <v>8.3178979999999996</v>
      </c>
    </row>
    <row r="362" spans="1:7" x14ac:dyDescent="0.25">
      <c r="A362" t="s">
        <v>147</v>
      </c>
      <c r="B362" t="s">
        <v>335</v>
      </c>
      <c r="C362" t="s">
        <v>1390</v>
      </c>
      <c r="D362">
        <v>-5.0084970000000002</v>
      </c>
      <c r="E362">
        <v>0.75783619999999996</v>
      </c>
      <c r="F362">
        <v>-4.107132</v>
      </c>
      <c r="G362" s="154">
        <v>9.3305939999999996</v>
      </c>
    </row>
    <row r="363" spans="1:7" x14ac:dyDescent="0.25">
      <c r="A363" t="s">
        <v>131</v>
      </c>
      <c r="B363" t="s">
        <v>310</v>
      </c>
      <c r="C363" t="s">
        <v>1391</v>
      </c>
      <c r="D363">
        <v>-4.0769710000000003</v>
      </c>
      <c r="E363">
        <v>2.4560819999999999</v>
      </c>
      <c r="F363">
        <v>-1.5710809999999999</v>
      </c>
      <c r="G363" s="154">
        <v>5.4426829999999997</v>
      </c>
    </row>
    <row r="364" spans="1:7" x14ac:dyDescent="0.25">
      <c r="A364" t="s">
        <v>131</v>
      </c>
      <c r="B364" t="s">
        <v>310</v>
      </c>
      <c r="C364" t="s">
        <v>1392</v>
      </c>
      <c r="D364">
        <v>-3.4167839999999998</v>
      </c>
      <c r="E364">
        <v>2.075253</v>
      </c>
      <c r="F364">
        <v>-1.3222020000000001</v>
      </c>
      <c r="G364" s="154">
        <v>6.9462989999999998</v>
      </c>
    </row>
    <row r="365" spans="1:7" x14ac:dyDescent="0.25">
      <c r="A365" t="s">
        <v>131</v>
      </c>
      <c r="B365" t="s">
        <v>310</v>
      </c>
      <c r="C365" t="s">
        <v>1393</v>
      </c>
      <c r="D365">
        <v>-2.9373779999999998</v>
      </c>
      <c r="E365">
        <v>1.7866770000000001</v>
      </c>
      <c r="F365">
        <v>-1.131537</v>
      </c>
      <c r="G365" s="154">
        <v>6.721006</v>
      </c>
    </row>
    <row r="366" spans="1:7" x14ac:dyDescent="0.25">
      <c r="A366" t="s">
        <v>131</v>
      </c>
      <c r="B366" t="s">
        <v>310</v>
      </c>
      <c r="C366" t="s">
        <v>1394</v>
      </c>
      <c r="D366">
        <v>-3.9686490000000001</v>
      </c>
      <c r="E366">
        <v>2.5083739999999999</v>
      </c>
      <c r="F366">
        <v>-1.431435</v>
      </c>
      <c r="G366" s="154">
        <v>5.797898</v>
      </c>
    </row>
    <row r="367" spans="1:7" x14ac:dyDescent="0.25">
      <c r="A367" t="s">
        <v>131</v>
      </c>
      <c r="B367" t="s">
        <v>310</v>
      </c>
      <c r="C367" t="s">
        <v>1395</v>
      </c>
      <c r="D367">
        <v>-4.0701989999999997</v>
      </c>
      <c r="E367">
        <v>2.5511849999999998</v>
      </c>
      <c r="F367">
        <v>-1.4743630000000001</v>
      </c>
      <c r="G367" s="154">
        <v>5.5551370000000002</v>
      </c>
    </row>
    <row r="368" spans="1:7" x14ac:dyDescent="0.25">
      <c r="A368" t="s">
        <v>131</v>
      </c>
      <c r="B368" t="s">
        <v>310</v>
      </c>
      <c r="C368" t="s">
        <v>1396</v>
      </c>
      <c r="D368">
        <v>-4.1511610000000001</v>
      </c>
      <c r="E368">
        <v>2.5524079999999998</v>
      </c>
      <c r="F368">
        <v>-1.587969</v>
      </c>
      <c r="G368" s="154">
        <v>5.4143689999999998</v>
      </c>
    </row>
    <row r="369" spans="1:7" x14ac:dyDescent="0.25">
      <c r="A369" t="s">
        <v>131</v>
      </c>
      <c r="B369" t="s">
        <v>310</v>
      </c>
      <c r="C369" t="s">
        <v>1397</v>
      </c>
      <c r="D369">
        <v>-3.9653550000000002</v>
      </c>
      <c r="E369">
        <v>2.2503359999999999</v>
      </c>
      <c r="F369">
        <v>-1.61494</v>
      </c>
      <c r="G369" s="154">
        <v>5.359318</v>
      </c>
    </row>
    <row r="370" spans="1:7" x14ac:dyDescent="0.25">
      <c r="A370" t="s">
        <v>131</v>
      </c>
      <c r="B370" t="s">
        <v>310</v>
      </c>
      <c r="C370" t="s">
        <v>1398</v>
      </c>
      <c r="D370">
        <v>-3.6227710000000002</v>
      </c>
      <c r="E370">
        <v>2.2931279999999998</v>
      </c>
      <c r="F370">
        <v>-1.311788</v>
      </c>
      <c r="G370" s="154">
        <v>5.7008400000000004</v>
      </c>
    </row>
    <row r="371" spans="1:7" x14ac:dyDescent="0.25">
      <c r="A371" t="s">
        <v>131</v>
      </c>
      <c r="B371" t="s">
        <v>310</v>
      </c>
      <c r="C371" t="s">
        <v>1399</v>
      </c>
      <c r="D371">
        <v>-4.076384</v>
      </c>
      <c r="E371">
        <v>2.622525</v>
      </c>
      <c r="F371">
        <v>-1.3985860000000001</v>
      </c>
      <c r="G371" s="154">
        <v>6.1618279999999999</v>
      </c>
    </row>
    <row r="372" spans="1:7" x14ac:dyDescent="0.25">
      <c r="A372" t="s">
        <v>131</v>
      </c>
      <c r="B372" t="s">
        <v>310</v>
      </c>
      <c r="C372" t="s">
        <v>1400</v>
      </c>
      <c r="D372">
        <v>-4.3610429999999996</v>
      </c>
      <c r="E372">
        <v>2.6405789999999998</v>
      </c>
      <c r="F372">
        <v>-1.648862</v>
      </c>
      <c r="G372" s="154">
        <v>5.538062</v>
      </c>
    </row>
    <row r="373" spans="1:7" x14ac:dyDescent="0.25">
      <c r="A373" t="s">
        <v>131</v>
      </c>
      <c r="B373" t="s">
        <v>310</v>
      </c>
      <c r="C373" t="s">
        <v>1401</v>
      </c>
      <c r="D373">
        <v>-3.264802</v>
      </c>
      <c r="E373">
        <v>2.0935039999999998</v>
      </c>
      <c r="F373">
        <v>-1.154433</v>
      </c>
      <c r="G373" s="154">
        <v>7.3377809999999997</v>
      </c>
    </row>
    <row r="374" spans="1:7" x14ac:dyDescent="0.25">
      <c r="A374" t="s">
        <v>131</v>
      </c>
      <c r="B374" t="s">
        <v>310</v>
      </c>
      <c r="C374" t="s">
        <v>1402</v>
      </c>
      <c r="D374">
        <v>-4.2354659999999997</v>
      </c>
      <c r="E374">
        <v>2.6691609999999999</v>
      </c>
      <c r="F374">
        <v>-1.53827</v>
      </c>
      <c r="G374" s="154">
        <v>5.6914119999999997</v>
      </c>
    </row>
    <row r="375" spans="1:7" x14ac:dyDescent="0.25">
      <c r="A375" t="s">
        <v>131</v>
      </c>
      <c r="B375" t="s">
        <v>310</v>
      </c>
      <c r="C375" t="s">
        <v>1403</v>
      </c>
      <c r="D375">
        <v>-4.4118110000000001</v>
      </c>
      <c r="E375">
        <v>2.6116470000000001</v>
      </c>
      <c r="F375">
        <v>-1.7614179999999999</v>
      </c>
      <c r="G375" s="154">
        <v>5.617572</v>
      </c>
    </row>
    <row r="376" spans="1:7" x14ac:dyDescent="0.25">
      <c r="A376" t="s">
        <v>131</v>
      </c>
      <c r="B376" t="s">
        <v>310</v>
      </c>
      <c r="C376" t="s">
        <v>1404</v>
      </c>
      <c r="D376">
        <v>-3.5246400000000002</v>
      </c>
      <c r="E376">
        <v>2.0923579999999999</v>
      </c>
      <c r="F376">
        <v>-1.41998</v>
      </c>
      <c r="G376" s="154">
        <v>6.8832469999999999</v>
      </c>
    </row>
    <row r="377" spans="1:7" x14ac:dyDescent="0.25">
      <c r="A377" t="s">
        <v>131</v>
      </c>
      <c r="B377" t="s">
        <v>310</v>
      </c>
      <c r="C377" t="s">
        <v>1405</v>
      </c>
      <c r="D377">
        <v>-3.8946499999999999</v>
      </c>
      <c r="E377">
        <v>2.6411950000000002</v>
      </c>
      <c r="F377">
        <v>-1.235854</v>
      </c>
      <c r="G377" s="154">
        <v>5.959257</v>
      </c>
    </row>
    <row r="378" spans="1:7" x14ac:dyDescent="0.25">
      <c r="A378" t="s">
        <v>131</v>
      </c>
      <c r="B378" t="s">
        <v>310</v>
      </c>
      <c r="C378" t="s">
        <v>1406</v>
      </c>
      <c r="D378">
        <v>-4.3071099999999998</v>
      </c>
      <c r="E378">
        <v>2.5416210000000001</v>
      </c>
      <c r="F378">
        <v>-1.6723330000000001</v>
      </c>
      <c r="G378" s="154">
        <v>5.3040789999999998</v>
      </c>
    </row>
    <row r="379" spans="1:7" x14ac:dyDescent="0.25">
      <c r="A379" t="s">
        <v>131</v>
      </c>
      <c r="B379" t="s">
        <v>310</v>
      </c>
      <c r="C379" t="s">
        <v>1407</v>
      </c>
      <c r="D379">
        <v>-4.4725270000000004</v>
      </c>
      <c r="E379">
        <v>2.5914130000000002</v>
      </c>
      <c r="F379">
        <v>-1.772724</v>
      </c>
      <c r="G379" s="154">
        <v>5.5142150000000001</v>
      </c>
    </row>
    <row r="380" spans="1:7" x14ac:dyDescent="0.25">
      <c r="A380" t="s">
        <v>131</v>
      </c>
      <c r="B380" t="s">
        <v>310</v>
      </c>
      <c r="C380" t="s">
        <v>1408</v>
      </c>
      <c r="D380">
        <v>-3.784303</v>
      </c>
      <c r="E380">
        <v>2.1914560000000001</v>
      </c>
      <c r="F380">
        <v>-1.555526</v>
      </c>
      <c r="G380" s="154">
        <v>6.2396969999999996</v>
      </c>
    </row>
    <row r="381" spans="1:7" x14ac:dyDescent="0.25">
      <c r="A381" t="s">
        <v>131</v>
      </c>
      <c r="B381" t="s">
        <v>310</v>
      </c>
      <c r="C381" t="s">
        <v>1409</v>
      </c>
      <c r="D381">
        <v>-4.9838100000000001</v>
      </c>
      <c r="E381">
        <v>2.1074459999999999</v>
      </c>
      <c r="F381">
        <v>-2.854924</v>
      </c>
      <c r="G381" s="154">
        <v>7.8189419999999998</v>
      </c>
    </row>
    <row r="382" spans="1:7" x14ac:dyDescent="0.25">
      <c r="A382" t="s">
        <v>131</v>
      </c>
      <c r="B382" t="s">
        <v>310</v>
      </c>
      <c r="C382" t="s">
        <v>1410</v>
      </c>
      <c r="D382">
        <v>-3.7384689999999998</v>
      </c>
      <c r="E382">
        <v>2.1935730000000002</v>
      </c>
      <c r="F382">
        <v>-1.537892</v>
      </c>
      <c r="G382" s="154">
        <v>5.8748930000000001</v>
      </c>
    </row>
    <row r="383" spans="1:7" x14ac:dyDescent="0.25">
      <c r="A383" t="s">
        <v>135</v>
      </c>
      <c r="B383" t="s">
        <v>344</v>
      </c>
      <c r="C383" t="s">
        <v>1411</v>
      </c>
      <c r="D383">
        <v>-5.1379869999999999</v>
      </c>
      <c r="E383">
        <v>1.4555389999999999</v>
      </c>
      <c r="F383">
        <v>-2.6698770000000001</v>
      </c>
      <c r="G383" s="154">
        <v>10.36307</v>
      </c>
    </row>
    <row r="384" spans="1:7" x14ac:dyDescent="0.25">
      <c r="A384" t="s">
        <v>135</v>
      </c>
      <c r="B384" t="s">
        <v>344</v>
      </c>
      <c r="C384" t="s">
        <v>1412</v>
      </c>
      <c r="D384">
        <v>-5.2159199999999997</v>
      </c>
      <c r="E384">
        <v>1.4134310000000001</v>
      </c>
      <c r="F384">
        <v>-2.8373650000000001</v>
      </c>
      <c r="G384" s="154">
        <v>9.6030569999999997</v>
      </c>
    </row>
    <row r="385" spans="1:7" x14ac:dyDescent="0.25">
      <c r="A385" t="s">
        <v>135</v>
      </c>
      <c r="B385" t="s">
        <v>344</v>
      </c>
      <c r="C385" t="s">
        <v>1413</v>
      </c>
      <c r="D385">
        <v>-5.3762980000000002</v>
      </c>
      <c r="E385">
        <v>1.313045</v>
      </c>
      <c r="F385">
        <v>-2.7796069999999999</v>
      </c>
      <c r="G385" s="154">
        <v>9.4458479999999998</v>
      </c>
    </row>
    <row r="386" spans="1:7" x14ac:dyDescent="0.25">
      <c r="A386" t="s">
        <v>135</v>
      </c>
      <c r="B386" t="s">
        <v>344</v>
      </c>
      <c r="C386" t="s">
        <v>1414</v>
      </c>
      <c r="D386">
        <v>-5.3834910000000002</v>
      </c>
      <c r="E386">
        <v>1.5297449999999999</v>
      </c>
      <c r="F386">
        <v>-2.6943299999999999</v>
      </c>
      <c r="G386" s="154">
        <v>9.8159980000000004</v>
      </c>
    </row>
    <row r="387" spans="1:7" x14ac:dyDescent="0.25">
      <c r="A387" t="s">
        <v>135</v>
      </c>
      <c r="B387" t="s">
        <v>344</v>
      </c>
      <c r="C387" t="s">
        <v>1415</v>
      </c>
      <c r="D387">
        <v>-5.0409819999999996</v>
      </c>
      <c r="E387">
        <v>1.656004</v>
      </c>
      <c r="F387">
        <v>-2.1351710000000002</v>
      </c>
      <c r="G387" s="154">
        <v>10.000629999999999</v>
      </c>
    </row>
    <row r="388" spans="1:7" x14ac:dyDescent="0.25">
      <c r="A388" t="s">
        <v>135</v>
      </c>
      <c r="B388" t="s">
        <v>344</v>
      </c>
      <c r="C388" t="s">
        <v>1416</v>
      </c>
      <c r="D388">
        <v>-4.7686520000000003</v>
      </c>
      <c r="E388">
        <v>1.4964740000000001</v>
      </c>
      <c r="F388">
        <v>-2.6758090000000001</v>
      </c>
      <c r="G388" s="154">
        <v>11.242039999999999</v>
      </c>
    </row>
    <row r="389" spans="1:7" x14ac:dyDescent="0.25">
      <c r="A389" t="s">
        <v>135</v>
      </c>
      <c r="B389" t="s">
        <v>344</v>
      </c>
      <c r="C389" t="s">
        <v>1417</v>
      </c>
      <c r="D389">
        <v>-5.0177290000000001</v>
      </c>
      <c r="E389">
        <v>1.6199250000000001</v>
      </c>
      <c r="F389">
        <v>-2.2151809999999998</v>
      </c>
      <c r="G389" s="154">
        <v>10.968959999999999</v>
      </c>
    </row>
    <row r="390" spans="1:7" x14ac:dyDescent="0.25">
      <c r="A390" t="s">
        <v>8</v>
      </c>
      <c r="B390" t="s">
        <v>346</v>
      </c>
      <c r="C390" t="s">
        <v>1418</v>
      </c>
      <c r="D390">
        <v>-3.361094</v>
      </c>
      <c r="E390">
        <v>1.368884</v>
      </c>
      <c r="F390">
        <v>-1.992211</v>
      </c>
      <c r="G390" s="154">
        <v>4.1408009999999997</v>
      </c>
    </row>
    <row r="391" spans="1:7" x14ac:dyDescent="0.25">
      <c r="A391" t="s">
        <v>8</v>
      </c>
      <c r="B391" t="s">
        <v>346</v>
      </c>
      <c r="C391" t="s">
        <v>1419</v>
      </c>
      <c r="D391">
        <v>-3.2677550000000002</v>
      </c>
      <c r="E391">
        <v>1.1170850000000001</v>
      </c>
      <c r="F391">
        <v>-2.1506699999999999</v>
      </c>
      <c r="G391" s="154">
        <v>3.210909</v>
      </c>
    </row>
    <row r="392" spans="1:7" x14ac:dyDescent="0.25">
      <c r="A392" t="s">
        <v>8</v>
      </c>
      <c r="B392" t="s">
        <v>346</v>
      </c>
      <c r="C392" t="s">
        <v>1420</v>
      </c>
      <c r="D392">
        <v>-3.7360039999999999</v>
      </c>
      <c r="E392">
        <v>1.340498</v>
      </c>
      <c r="F392">
        <v>-2.395505</v>
      </c>
      <c r="G392" s="154">
        <v>3.1620110000000001</v>
      </c>
    </row>
    <row r="393" spans="1:7" x14ac:dyDescent="0.25">
      <c r="A393" t="s">
        <v>8</v>
      </c>
      <c r="B393" t="s">
        <v>346</v>
      </c>
      <c r="C393" t="s">
        <v>1421</v>
      </c>
      <c r="D393">
        <v>-3.396277</v>
      </c>
      <c r="E393">
        <v>0.81293990000000005</v>
      </c>
      <c r="F393">
        <v>-2.5833379999999999</v>
      </c>
      <c r="G393" s="154">
        <v>3.6021610000000002</v>
      </c>
    </row>
    <row r="394" spans="1:7" x14ac:dyDescent="0.25">
      <c r="A394" t="s">
        <v>8</v>
      </c>
      <c r="B394" t="s">
        <v>346</v>
      </c>
      <c r="C394" t="s">
        <v>1422</v>
      </c>
      <c r="D394">
        <v>-4.3292039999999998</v>
      </c>
      <c r="E394">
        <v>0.61773990000000001</v>
      </c>
      <c r="F394">
        <v>-3.7114639999999999</v>
      </c>
      <c r="G394" s="154">
        <v>2.6955399999999998</v>
      </c>
    </row>
    <row r="395" spans="1:7" x14ac:dyDescent="0.25">
      <c r="A395" t="s">
        <v>8</v>
      </c>
      <c r="B395" t="s">
        <v>346</v>
      </c>
      <c r="C395" t="s">
        <v>1423</v>
      </c>
      <c r="D395">
        <v>-2.7726440000000001</v>
      </c>
      <c r="E395">
        <v>1.3629070000000001</v>
      </c>
      <c r="F395">
        <v>-1.4097379999999999</v>
      </c>
      <c r="G395" s="154">
        <v>8.8420369999999995</v>
      </c>
    </row>
    <row r="396" spans="1:7" x14ac:dyDescent="0.25">
      <c r="A396" t="s">
        <v>8</v>
      </c>
      <c r="B396" t="s">
        <v>346</v>
      </c>
      <c r="C396" t="s">
        <v>1424</v>
      </c>
      <c r="D396">
        <v>-3.685543</v>
      </c>
      <c r="E396">
        <v>0.85734940000000004</v>
      </c>
      <c r="F396">
        <v>-2.8281930000000002</v>
      </c>
      <c r="G396" s="154">
        <v>3.0362260000000001</v>
      </c>
    </row>
    <row r="397" spans="1:7" x14ac:dyDescent="0.25">
      <c r="A397" t="s">
        <v>8</v>
      </c>
      <c r="B397" t="s">
        <v>346</v>
      </c>
      <c r="C397" t="s">
        <v>1425</v>
      </c>
      <c r="D397">
        <v>-3.0476429999999999</v>
      </c>
      <c r="E397">
        <v>1.5470539999999999</v>
      </c>
      <c r="F397">
        <v>-1.500589</v>
      </c>
      <c r="G397" s="154">
        <v>6.6194139999999999</v>
      </c>
    </row>
    <row r="398" spans="1:7" x14ac:dyDescent="0.25">
      <c r="A398" t="s">
        <v>8</v>
      </c>
      <c r="B398" t="s">
        <v>346</v>
      </c>
      <c r="C398" t="s">
        <v>1426</v>
      </c>
      <c r="D398">
        <v>-2.9854639999999999</v>
      </c>
      <c r="E398">
        <v>1.142833</v>
      </c>
      <c r="F398">
        <v>-1.8426309999999999</v>
      </c>
      <c r="G398" s="154">
        <v>5.3075900000000003</v>
      </c>
    </row>
    <row r="399" spans="1:7" x14ac:dyDescent="0.25">
      <c r="A399" t="s">
        <v>8</v>
      </c>
      <c r="B399" t="s">
        <v>346</v>
      </c>
      <c r="C399" t="s">
        <v>1427</v>
      </c>
      <c r="D399">
        <v>-3.4509940000000001</v>
      </c>
      <c r="E399">
        <v>1.009892</v>
      </c>
      <c r="F399">
        <v>-2.4411010000000002</v>
      </c>
      <c r="G399" s="154">
        <v>3.9346399999999999</v>
      </c>
    </row>
    <row r="400" spans="1:7" x14ac:dyDescent="0.25">
      <c r="A400" t="s">
        <v>8</v>
      </c>
      <c r="B400" t="s">
        <v>346</v>
      </c>
      <c r="C400" t="s">
        <v>1428</v>
      </c>
      <c r="D400">
        <v>-3.4105759999999998</v>
      </c>
      <c r="E400">
        <v>1.0118130000000001</v>
      </c>
      <c r="F400">
        <v>-2.3987630000000002</v>
      </c>
      <c r="G400" s="154">
        <v>4.2003079999999997</v>
      </c>
    </row>
    <row r="401" spans="1:7" x14ac:dyDescent="0.25">
      <c r="A401" t="s">
        <v>8</v>
      </c>
      <c r="B401" t="s">
        <v>346</v>
      </c>
      <c r="C401" t="s">
        <v>1429</v>
      </c>
      <c r="D401">
        <v>-3.2162169999999999</v>
      </c>
      <c r="E401">
        <v>0.91779960000000005</v>
      </c>
      <c r="F401">
        <v>-2.2984170000000002</v>
      </c>
      <c r="G401" s="154">
        <v>4.9756790000000004</v>
      </c>
    </row>
    <row r="402" spans="1:7" x14ac:dyDescent="0.25">
      <c r="A402" t="s">
        <v>8</v>
      </c>
      <c r="B402" t="s">
        <v>346</v>
      </c>
      <c r="C402" t="s">
        <v>1430</v>
      </c>
      <c r="D402">
        <v>-3.5373380000000001</v>
      </c>
      <c r="E402">
        <v>0.83740720000000002</v>
      </c>
      <c r="F402">
        <v>-2.6999309999999999</v>
      </c>
      <c r="G402" s="154">
        <v>4.0210270000000001</v>
      </c>
    </row>
    <row r="403" spans="1:7" x14ac:dyDescent="0.25">
      <c r="A403" t="s">
        <v>8</v>
      </c>
      <c r="B403" t="s">
        <v>346</v>
      </c>
      <c r="C403" t="s">
        <v>1431</v>
      </c>
      <c r="D403">
        <v>-4.0989440000000004</v>
      </c>
      <c r="E403">
        <v>0.85613130000000004</v>
      </c>
      <c r="F403">
        <v>-3.2428129999999999</v>
      </c>
      <c r="G403" s="154">
        <v>3.034748</v>
      </c>
    </row>
    <row r="404" spans="1:7" x14ac:dyDescent="0.25">
      <c r="A404" t="s">
        <v>8</v>
      </c>
      <c r="B404" t="s">
        <v>346</v>
      </c>
      <c r="C404" t="s">
        <v>1432</v>
      </c>
      <c r="D404">
        <v>-3.2507199999999998</v>
      </c>
      <c r="E404">
        <v>0.94590280000000004</v>
      </c>
      <c r="F404">
        <v>-2.3048169999999999</v>
      </c>
      <c r="G404" s="154">
        <v>3.8984619999999999</v>
      </c>
    </row>
    <row r="405" spans="1:7" x14ac:dyDescent="0.25">
      <c r="A405" t="s">
        <v>8</v>
      </c>
      <c r="B405" t="s">
        <v>346</v>
      </c>
      <c r="C405" t="s">
        <v>1433</v>
      </c>
      <c r="D405">
        <v>-2.8259430000000001</v>
      </c>
      <c r="E405">
        <v>0.8436785</v>
      </c>
      <c r="F405">
        <v>-1.9822649999999999</v>
      </c>
      <c r="G405" s="154">
        <v>5.3272599999999999</v>
      </c>
    </row>
    <row r="406" spans="1:7" x14ac:dyDescent="0.25">
      <c r="A406" t="s">
        <v>8</v>
      </c>
      <c r="B406" t="s">
        <v>346</v>
      </c>
      <c r="C406" t="s">
        <v>1434</v>
      </c>
      <c r="D406">
        <v>-3.6691340000000001</v>
      </c>
      <c r="E406">
        <v>0.83499619999999997</v>
      </c>
      <c r="F406">
        <v>-2.8341379999999998</v>
      </c>
      <c r="G406" s="154">
        <v>3.28911</v>
      </c>
    </row>
    <row r="407" spans="1:7" x14ac:dyDescent="0.25">
      <c r="A407" t="s">
        <v>8</v>
      </c>
      <c r="B407" t="s">
        <v>346</v>
      </c>
      <c r="C407" t="s">
        <v>1435</v>
      </c>
      <c r="D407">
        <v>-3.3519429999999999</v>
      </c>
      <c r="E407">
        <v>1.04118</v>
      </c>
      <c r="F407">
        <v>-2.3107630000000001</v>
      </c>
      <c r="G407" s="154">
        <v>4.5346950000000001</v>
      </c>
    </row>
    <row r="408" spans="1:7" x14ac:dyDescent="0.25">
      <c r="A408" t="s">
        <v>8</v>
      </c>
      <c r="B408" t="s">
        <v>346</v>
      </c>
      <c r="C408" t="s">
        <v>1436</v>
      </c>
      <c r="D408">
        <v>-3.1614949999999999</v>
      </c>
      <c r="E408">
        <v>0.83181430000000001</v>
      </c>
      <c r="F408">
        <v>-2.3296800000000002</v>
      </c>
      <c r="G408" s="154">
        <v>5.0746589999999996</v>
      </c>
    </row>
    <row r="409" spans="1:7" x14ac:dyDescent="0.25">
      <c r="A409" t="s">
        <v>8</v>
      </c>
      <c r="B409" t="s">
        <v>346</v>
      </c>
      <c r="C409" t="s">
        <v>1437</v>
      </c>
      <c r="D409">
        <v>-3.4591970000000001</v>
      </c>
      <c r="E409">
        <v>1.079283</v>
      </c>
      <c r="F409">
        <v>-2.3799139999999999</v>
      </c>
      <c r="G409" s="154">
        <v>3.537658</v>
      </c>
    </row>
    <row r="410" spans="1:7" x14ac:dyDescent="0.25">
      <c r="A410" t="s">
        <v>8</v>
      </c>
      <c r="B410" t="s">
        <v>346</v>
      </c>
      <c r="C410" t="s">
        <v>1438</v>
      </c>
      <c r="D410">
        <v>-3.2648090000000001</v>
      </c>
      <c r="E410">
        <v>0.9255044</v>
      </c>
      <c r="F410">
        <v>-2.339305</v>
      </c>
      <c r="G410" s="154">
        <v>4.6924549999999998</v>
      </c>
    </row>
    <row r="411" spans="1:7" x14ac:dyDescent="0.25">
      <c r="A411" t="s">
        <v>8</v>
      </c>
      <c r="B411" t="s">
        <v>346</v>
      </c>
      <c r="C411" t="s">
        <v>1439</v>
      </c>
      <c r="D411">
        <v>-4.2432879999999997</v>
      </c>
      <c r="E411">
        <v>1.6081369999999999</v>
      </c>
      <c r="F411">
        <v>-2.635151</v>
      </c>
      <c r="G411" s="154">
        <v>3.7927240000000002</v>
      </c>
    </row>
    <row r="412" spans="1:7" x14ac:dyDescent="0.25">
      <c r="A412" t="s">
        <v>8</v>
      </c>
      <c r="B412" t="s">
        <v>346</v>
      </c>
      <c r="C412" t="s">
        <v>1440</v>
      </c>
      <c r="D412">
        <v>-3.1557710000000001</v>
      </c>
      <c r="E412">
        <v>0.72147260000000002</v>
      </c>
      <c r="F412">
        <v>-2.4342980000000001</v>
      </c>
      <c r="G412" s="154">
        <v>3.0204979999999999</v>
      </c>
    </row>
    <row r="413" spans="1:7" x14ac:dyDescent="0.25">
      <c r="A413" t="s">
        <v>8</v>
      </c>
      <c r="B413" t="s">
        <v>346</v>
      </c>
      <c r="C413" t="s">
        <v>1441</v>
      </c>
      <c r="D413">
        <v>-3.1282290000000001</v>
      </c>
      <c r="E413">
        <v>1.41937</v>
      </c>
      <c r="F413">
        <v>-1.7088589999999999</v>
      </c>
      <c r="G413" s="154">
        <v>5.4501280000000003</v>
      </c>
    </row>
    <row r="414" spans="1:7" x14ac:dyDescent="0.25">
      <c r="A414" t="s">
        <v>8</v>
      </c>
      <c r="B414" t="s">
        <v>346</v>
      </c>
      <c r="C414" t="s">
        <v>1442</v>
      </c>
      <c r="D414">
        <v>-3.2393909999999999</v>
      </c>
      <c r="E414">
        <v>0.93305210000000005</v>
      </c>
      <c r="F414">
        <v>-2.3063389999999999</v>
      </c>
      <c r="G414" s="154">
        <v>4.4115029999999997</v>
      </c>
    </row>
    <row r="415" spans="1:7" x14ac:dyDescent="0.25">
      <c r="A415" t="s">
        <v>8</v>
      </c>
      <c r="B415" t="s">
        <v>346</v>
      </c>
      <c r="C415" t="s">
        <v>1443</v>
      </c>
      <c r="D415">
        <v>-3.5779529999999999</v>
      </c>
      <c r="E415">
        <v>0.81083669999999997</v>
      </c>
      <c r="F415">
        <v>-2.7671160000000001</v>
      </c>
      <c r="G415" s="154">
        <v>3.0488019999999998</v>
      </c>
    </row>
    <row r="416" spans="1:7" x14ac:dyDescent="0.25">
      <c r="A416" t="s">
        <v>8</v>
      </c>
      <c r="B416" t="s">
        <v>346</v>
      </c>
      <c r="C416" t="s">
        <v>1444</v>
      </c>
      <c r="D416">
        <v>-3.5511970000000002</v>
      </c>
      <c r="E416">
        <v>1.3273710000000001</v>
      </c>
      <c r="F416">
        <v>-2.2238259999999999</v>
      </c>
      <c r="G416" s="154">
        <v>3.7230620000000001</v>
      </c>
    </row>
    <row r="417" spans="1:7" x14ac:dyDescent="0.25">
      <c r="A417" t="s">
        <v>8</v>
      </c>
      <c r="B417" t="s">
        <v>346</v>
      </c>
      <c r="C417" t="s">
        <v>1445</v>
      </c>
      <c r="D417">
        <v>-2.9554689999999999</v>
      </c>
      <c r="E417">
        <v>0.9309402</v>
      </c>
      <c r="F417">
        <v>-2.0245289999999998</v>
      </c>
      <c r="G417" s="154">
        <v>4.3789990000000003</v>
      </c>
    </row>
    <row r="418" spans="1:7" x14ac:dyDescent="0.25">
      <c r="A418" t="s">
        <v>8</v>
      </c>
      <c r="B418" t="s">
        <v>346</v>
      </c>
      <c r="C418" t="s">
        <v>1446</v>
      </c>
      <c r="D418">
        <v>-2.926399</v>
      </c>
      <c r="E418">
        <v>0.72010609999999997</v>
      </c>
      <c r="F418">
        <v>-2.2062930000000001</v>
      </c>
      <c r="G418" s="154">
        <v>3.6033059999999999</v>
      </c>
    </row>
    <row r="419" spans="1:7" x14ac:dyDescent="0.25">
      <c r="A419" t="s">
        <v>8</v>
      </c>
      <c r="B419" t="s">
        <v>346</v>
      </c>
      <c r="C419" t="s">
        <v>1447</v>
      </c>
      <c r="D419">
        <v>-3.8633869999999999</v>
      </c>
      <c r="E419">
        <v>0.70591780000000004</v>
      </c>
      <c r="F419">
        <v>-3.1574689999999999</v>
      </c>
      <c r="G419" s="154">
        <v>3.4501240000000002</v>
      </c>
    </row>
    <row r="420" spans="1:7" x14ac:dyDescent="0.25">
      <c r="A420" t="s">
        <v>8</v>
      </c>
      <c r="B420" t="s">
        <v>346</v>
      </c>
      <c r="C420" t="s">
        <v>1448</v>
      </c>
      <c r="D420">
        <v>-3.4195690000000001</v>
      </c>
      <c r="E420">
        <v>0.8459759</v>
      </c>
      <c r="F420">
        <v>-2.5735939999999999</v>
      </c>
      <c r="G420" s="154">
        <v>4.7568140000000003</v>
      </c>
    </row>
    <row r="421" spans="1:7" x14ac:dyDescent="0.25">
      <c r="A421" t="s">
        <v>8</v>
      </c>
      <c r="B421" t="s">
        <v>346</v>
      </c>
      <c r="C421" t="s">
        <v>1449</v>
      </c>
      <c r="D421">
        <v>-3.0526219999999999</v>
      </c>
      <c r="E421">
        <v>0.87607219999999997</v>
      </c>
      <c r="F421">
        <v>-2.1765500000000002</v>
      </c>
      <c r="G421" s="154">
        <v>3.333993</v>
      </c>
    </row>
    <row r="422" spans="1:7" x14ac:dyDescent="0.25">
      <c r="A422" t="s">
        <v>167</v>
      </c>
      <c r="B422" t="s">
        <v>349</v>
      </c>
      <c r="C422" t="s">
        <v>1450</v>
      </c>
      <c r="D422">
        <v>-6.5479149999999997</v>
      </c>
      <c r="E422">
        <v>2.228491</v>
      </c>
      <c r="F422">
        <v>-2.8771559999999998</v>
      </c>
      <c r="G422" s="154">
        <v>8.5280889999999996</v>
      </c>
    </row>
    <row r="423" spans="1:7" x14ac:dyDescent="0.25">
      <c r="A423" t="s">
        <v>167</v>
      </c>
      <c r="B423" t="s">
        <v>349</v>
      </c>
      <c r="C423" t="s">
        <v>1451</v>
      </c>
      <c r="D423">
        <v>-6.649661</v>
      </c>
      <c r="E423">
        <v>2.3532869999999999</v>
      </c>
      <c r="F423">
        <v>-2.9388879999999999</v>
      </c>
      <c r="G423" s="154">
        <v>10.24663</v>
      </c>
    </row>
    <row r="424" spans="1:7" x14ac:dyDescent="0.25">
      <c r="A424" t="s">
        <v>155</v>
      </c>
      <c r="B424" t="s">
        <v>352</v>
      </c>
      <c r="C424" t="s">
        <v>1452</v>
      </c>
      <c r="D424">
        <v>-4.0215820000000004</v>
      </c>
      <c r="E424">
        <v>1.224667</v>
      </c>
      <c r="F424">
        <v>-2.7969149999999998</v>
      </c>
      <c r="G424" s="154">
        <v>9.0752839999999999</v>
      </c>
    </row>
    <row r="425" spans="1:7" x14ac:dyDescent="0.25">
      <c r="A425" t="s">
        <v>155</v>
      </c>
      <c r="B425" t="s">
        <v>352</v>
      </c>
      <c r="C425" t="s">
        <v>1453</v>
      </c>
      <c r="D425">
        <v>-5.5666719999999996</v>
      </c>
      <c r="E425">
        <v>1.247603</v>
      </c>
      <c r="F425">
        <v>-4.31907</v>
      </c>
      <c r="G425" s="154">
        <v>8.5718540000000001</v>
      </c>
    </row>
    <row r="426" spans="1:7" x14ac:dyDescent="0.25">
      <c r="A426" t="s">
        <v>155</v>
      </c>
      <c r="B426" t="s">
        <v>352</v>
      </c>
      <c r="C426" t="s">
        <v>1454</v>
      </c>
      <c r="D426">
        <v>-6.7247070000000004</v>
      </c>
      <c r="E426">
        <v>1.1279490000000001</v>
      </c>
      <c r="F426">
        <v>-5.5967580000000003</v>
      </c>
      <c r="G426" s="154">
        <v>8.3437529999999995</v>
      </c>
    </row>
    <row r="427" spans="1:7" x14ac:dyDescent="0.25">
      <c r="A427" t="s">
        <v>155</v>
      </c>
      <c r="B427" t="s">
        <v>352</v>
      </c>
      <c r="C427" t="s">
        <v>1455</v>
      </c>
      <c r="D427">
        <v>-3.5025590000000002</v>
      </c>
      <c r="E427">
        <v>1.3780209999999999</v>
      </c>
      <c r="F427">
        <v>-2.124539</v>
      </c>
      <c r="G427" s="154">
        <v>8.9278479999999991</v>
      </c>
    </row>
    <row r="428" spans="1:7" x14ac:dyDescent="0.25">
      <c r="A428" t="s">
        <v>155</v>
      </c>
      <c r="B428" t="s">
        <v>352</v>
      </c>
      <c r="C428" t="s">
        <v>1456</v>
      </c>
      <c r="D428">
        <v>-3.9471099999999999</v>
      </c>
      <c r="E428">
        <v>1.5114989999999999</v>
      </c>
      <c r="F428">
        <v>-2.4356110000000002</v>
      </c>
      <c r="G428" s="154">
        <v>8.9863119999999999</v>
      </c>
    </row>
    <row r="429" spans="1:7" x14ac:dyDescent="0.25">
      <c r="A429" t="s">
        <v>155</v>
      </c>
      <c r="B429" t="s">
        <v>352</v>
      </c>
      <c r="C429" t="s">
        <v>1457</v>
      </c>
      <c r="D429">
        <v>-6.4442500000000003</v>
      </c>
      <c r="E429">
        <v>1.107221</v>
      </c>
      <c r="F429">
        <v>-5.3370290000000002</v>
      </c>
      <c r="G429" s="154">
        <v>9.6345519999999993</v>
      </c>
    </row>
    <row r="430" spans="1:7" x14ac:dyDescent="0.25">
      <c r="A430" t="s">
        <v>155</v>
      </c>
      <c r="B430" t="s">
        <v>352</v>
      </c>
      <c r="C430" t="s">
        <v>1458</v>
      </c>
      <c r="D430">
        <v>-3.2320500000000001</v>
      </c>
      <c r="E430">
        <v>1.4098489999999999</v>
      </c>
      <c r="F430">
        <v>-1.8222020000000001</v>
      </c>
      <c r="G430" s="154">
        <v>9.0126390000000001</v>
      </c>
    </row>
    <row r="431" spans="1:7" x14ac:dyDescent="0.25">
      <c r="A431" t="s">
        <v>155</v>
      </c>
      <c r="B431" t="s">
        <v>352</v>
      </c>
      <c r="C431" t="s">
        <v>1459</v>
      </c>
      <c r="D431">
        <v>-2.678175</v>
      </c>
      <c r="E431">
        <v>1.2718989999999999</v>
      </c>
      <c r="F431">
        <v>-1.406277</v>
      </c>
      <c r="G431" s="154">
        <v>8.8705569999999998</v>
      </c>
    </row>
    <row r="432" spans="1:7" x14ac:dyDescent="0.25">
      <c r="A432" t="s">
        <v>155</v>
      </c>
      <c r="B432" t="s">
        <v>352</v>
      </c>
      <c r="C432" t="s">
        <v>1460</v>
      </c>
      <c r="D432">
        <v>-5.4506959999999998</v>
      </c>
      <c r="E432">
        <v>0.94289029999999996</v>
      </c>
      <c r="F432">
        <v>-4.5078060000000004</v>
      </c>
      <c r="G432" s="154">
        <v>8.6229689999999994</v>
      </c>
    </row>
    <row r="433" spans="1:7" x14ac:dyDescent="0.25">
      <c r="A433" t="s">
        <v>155</v>
      </c>
      <c r="B433" t="s">
        <v>352</v>
      </c>
      <c r="C433" t="s">
        <v>1461</v>
      </c>
      <c r="D433">
        <v>-4.1734119999999999</v>
      </c>
      <c r="E433">
        <v>1.34446</v>
      </c>
      <c r="F433">
        <v>-2.8289529999999998</v>
      </c>
      <c r="G433" s="154">
        <v>8.7332689999999999</v>
      </c>
    </row>
    <row r="434" spans="1:7" x14ac:dyDescent="0.25">
      <c r="A434" t="s">
        <v>155</v>
      </c>
      <c r="B434" t="s">
        <v>352</v>
      </c>
      <c r="C434" t="s">
        <v>1462</v>
      </c>
      <c r="D434">
        <v>-4.5610090000000003</v>
      </c>
      <c r="E434">
        <v>1.017244</v>
      </c>
      <c r="F434">
        <v>-3.5437650000000001</v>
      </c>
      <c r="G434" s="154">
        <v>8.1722029999999997</v>
      </c>
    </row>
    <row r="435" spans="1:7" x14ac:dyDescent="0.25">
      <c r="A435" t="s">
        <v>155</v>
      </c>
      <c r="B435" t="s">
        <v>352</v>
      </c>
      <c r="C435" t="s">
        <v>1463</v>
      </c>
      <c r="D435">
        <v>-7.9345140000000001</v>
      </c>
      <c r="E435">
        <v>1.101424</v>
      </c>
      <c r="F435">
        <v>-6.8330909999999996</v>
      </c>
      <c r="G435" s="154">
        <v>8.1541999999999994</v>
      </c>
    </row>
    <row r="436" spans="1:7" x14ac:dyDescent="0.25">
      <c r="A436" t="s">
        <v>155</v>
      </c>
      <c r="B436" t="s">
        <v>352</v>
      </c>
      <c r="C436" t="s">
        <v>1464</v>
      </c>
      <c r="D436">
        <v>-8.5312800000000006</v>
      </c>
      <c r="E436">
        <v>0.96810969999999996</v>
      </c>
      <c r="F436">
        <v>-7.5631700000000004</v>
      </c>
      <c r="G436" s="154">
        <v>8.2125599999999999</v>
      </c>
    </row>
    <row r="437" spans="1:7" x14ac:dyDescent="0.25">
      <c r="A437" t="s">
        <v>155</v>
      </c>
      <c r="B437" t="s">
        <v>352</v>
      </c>
      <c r="C437" t="s">
        <v>1465</v>
      </c>
      <c r="D437">
        <v>-3.4429400000000001</v>
      </c>
      <c r="E437">
        <v>1.2590749999999999</v>
      </c>
      <c r="F437">
        <v>-2.1838649999999999</v>
      </c>
      <c r="G437" s="154">
        <v>8.7825340000000001</v>
      </c>
    </row>
    <row r="438" spans="1:7" x14ac:dyDescent="0.25">
      <c r="A438" t="s">
        <v>155</v>
      </c>
      <c r="B438" t="s">
        <v>352</v>
      </c>
      <c r="C438" t="s">
        <v>1466</v>
      </c>
      <c r="D438">
        <v>-4.6700670000000004</v>
      </c>
      <c r="E438">
        <v>1.4166730000000001</v>
      </c>
      <c r="F438">
        <v>-3.253393</v>
      </c>
      <c r="G438" s="154">
        <v>8.9356290000000005</v>
      </c>
    </row>
    <row r="439" spans="1:7" x14ac:dyDescent="0.25">
      <c r="A439" t="s">
        <v>155</v>
      </c>
      <c r="B439" t="s">
        <v>352</v>
      </c>
      <c r="C439" t="s">
        <v>1467</v>
      </c>
      <c r="D439">
        <v>-4.0556419999999997</v>
      </c>
      <c r="E439">
        <v>1.2661389999999999</v>
      </c>
      <c r="F439">
        <v>-2.7895020000000001</v>
      </c>
      <c r="G439" s="154">
        <v>9.1716560000000005</v>
      </c>
    </row>
    <row r="440" spans="1:7" x14ac:dyDescent="0.25">
      <c r="A440" t="s">
        <v>155</v>
      </c>
      <c r="B440" t="s">
        <v>352</v>
      </c>
      <c r="C440" t="s">
        <v>1468</v>
      </c>
      <c r="D440">
        <v>-3.2624469999999999</v>
      </c>
      <c r="E440">
        <v>1.4317679999999999</v>
      </c>
      <c r="F440">
        <v>-1.8306800000000001</v>
      </c>
      <c r="G440" s="154">
        <v>8.7038499999999992</v>
      </c>
    </row>
    <row r="441" spans="1:7" x14ac:dyDescent="0.25">
      <c r="A441" t="s">
        <v>108</v>
      </c>
      <c r="B441" t="s">
        <v>355</v>
      </c>
      <c r="C441" t="s">
        <v>1469</v>
      </c>
      <c r="D441">
        <v>-7.9607380000000001</v>
      </c>
      <c r="E441">
        <v>4.3622300000000003</v>
      </c>
      <c r="F441">
        <v>-3.5985079999999998</v>
      </c>
      <c r="G441" s="154">
        <v>7.5510010000000003</v>
      </c>
    </row>
    <row r="442" spans="1:7" x14ac:dyDescent="0.25">
      <c r="A442" t="s">
        <v>108</v>
      </c>
      <c r="B442" t="s">
        <v>355</v>
      </c>
      <c r="C442" t="s">
        <v>1470</v>
      </c>
      <c r="D442">
        <v>-5.8590949999999999</v>
      </c>
      <c r="E442">
        <v>3.8407689999999999</v>
      </c>
      <c r="F442">
        <v>-2.0183260000000001</v>
      </c>
      <c r="G442" s="154">
        <v>8.1822009999999992</v>
      </c>
    </row>
    <row r="443" spans="1:7" x14ac:dyDescent="0.25">
      <c r="A443" t="s">
        <v>108</v>
      </c>
      <c r="B443" t="s">
        <v>355</v>
      </c>
      <c r="C443" t="s">
        <v>1471</v>
      </c>
      <c r="D443">
        <v>-6.4029049999999996</v>
      </c>
      <c r="E443">
        <v>4.0479130000000003</v>
      </c>
      <c r="F443">
        <v>-2.3549920000000002</v>
      </c>
      <c r="G443" s="154">
        <v>6.5556559999999999</v>
      </c>
    </row>
    <row r="444" spans="1:7" x14ac:dyDescent="0.25">
      <c r="A444" t="s">
        <v>108</v>
      </c>
      <c r="B444" t="s">
        <v>355</v>
      </c>
      <c r="C444" t="s">
        <v>1472</v>
      </c>
      <c r="D444">
        <v>-7.2395360000000002</v>
      </c>
      <c r="E444">
        <v>4.1591199999999997</v>
      </c>
      <c r="F444">
        <v>-3.080416</v>
      </c>
      <c r="G444" s="154">
        <v>7.2502750000000002</v>
      </c>
    </row>
    <row r="445" spans="1:7" x14ac:dyDescent="0.25">
      <c r="A445" t="s">
        <v>108</v>
      </c>
      <c r="B445" t="s">
        <v>355</v>
      </c>
      <c r="C445" t="s">
        <v>1473</v>
      </c>
      <c r="D445">
        <v>-7.0604659999999999</v>
      </c>
      <c r="E445">
        <v>3.7428689999999998</v>
      </c>
      <c r="F445">
        <v>-3.3175970000000001</v>
      </c>
      <c r="G445" s="154">
        <v>7.6163990000000004</v>
      </c>
    </row>
    <row r="446" spans="1:7" x14ac:dyDescent="0.25">
      <c r="A446" t="s">
        <v>108</v>
      </c>
      <c r="B446" t="s">
        <v>355</v>
      </c>
      <c r="C446" t="s">
        <v>1474</v>
      </c>
      <c r="D446">
        <v>-7.5709590000000002</v>
      </c>
      <c r="E446">
        <v>4.0937489999999999</v>
      </c>
      <c r="F446">
        <v>-3.4772099999999999</v>
      </c>
      <c r="G446" s="154">
        <v>6.6276000000000002</v>
      </c>
    </row>
    <row r="447" spans="1:7" x14ac:dyDescent="0.25">
      <c r="A447" t="s">
        <v>108</v>
      </c>
      <c r="B447" t="s">
        <v>355</v>
      </c>
      <c r="C447" t="s">
        <v>1475</v>
      </c>
      <c r="D447">
        <v>-7.2329759999999998</v>
      </c>
      <c r="E447">
        <v>4.2661049999999996</v>
      </c>
      <c r="F447">
        <v>-2.9668709999999998</v>
      </c>
      <c r="G447" s="154">
        <v>6.7565989999999996</v>
      </c>
    </row>
    <row r="448" spans="1:7" x14ac:dyDescent="0.25">
      <c r="A448" t="s">
        <v>108</v>
      </c>
      <c r="B448" t="s">
        <v>355</v>
      </c>
      <c r="C448" t="s">
        <v>1476</v>
      </c>
      <c r="D448">
        <v>-6.3207529999999998</v>
      </c>
      <c r="E448">
        <v>3.638468</v>
      </c>
      <c r="F448">
        <v>-2.6822849999999998</v>
      </c>
      <c r="G448" s="154">
        <v>6.0822159999999998</v>
      </c>
    </row>
    <row r="449" spans="1:7" x14ac:dyDescent="0.25">
      <c r="A449" t="s">
        <v>108</v>
      </c>
      <c r="B449" t="s">
        <v>355</v>
      </c>
      <c r="C449" t="s">
        <v>1477</v>
      </c>
      <c r="D449">
        <v>-7.1588849999999997</v>
      </c>
      <c r="E449">
        <v>3.850943</v>
      </c>
      <c r="F449">
        <v>-3.3079429999999999</v>
      </c>
      <c r="G449" s="154">
        <v>7.0763999999999996</v>
      </c>
    </row>
    <row r="450" spans="1:7" x14ac:dyDescent="0.25">
      <c r="A450" t="s">
        <v>108</v>
      </c>
      <c r="B450" t="s">
        <v>355</v>
      </c>
      <c r="C450" t="s">
        <v>1478</v>
      </c>
      <c r="D450">
        <v>-7.4181429999999997</v>
      </c>
      <c r="E450">
        <v>4.1427300000000002</v>
      </c>
      <c r="F450">
        <v>-3.2754129999999999</v>
      </c>
      <c r="G450" s="154">
        <v>5.6747680000000003</v>
      </c>
    </row>
    <row r="451" spans="1:7" x14ac:dyDescent="0.25">
      <c r="A451" t="s">
        <v>108</v>
      </c>
      <c r="B451" t="s">
        <v>355</v>
      </c>
      <c r="C451" t="s">
        <v>1479</v>
      </c>
      <c r="D451">
        <v>-7.788017</v>
      </c>
      <c r="E451">
        <v>5.4446450000000004</v>
      </c>
      <c r="F451">
        <v>-2.343372</v>
      </c>
      <c r="G451" s="154">
        <v>6.932906</v>
      </c>
    </row>
    <row r="452" spans="1:7" x14ac:dyDescent="0.25">
      <c r="A452" t="s">
        <v>108</v>
      </c>
      <c r="B452" t="s">
        <v>355</v>
      </c>
      <c r="C452" t="s">
        <v>1480</v>
      </c>
      <c r="D452">
        <v>-6.8800129999999999</v>
      </c>
      <c r="E452">
        <v>3.7587899999999999</v>
      </c>
      <c r="F452">
        <v>-3.1212230000000001</v>
      </c>
      <c r="G452" s="154">
        <v>7.2342000000000004</v>
      </c>
    </row>
    <row r="453" spans="1:7" x14ac:dyDescent="0.25">
      <c r="A453" t="s">
        <v>174</v>
      </c>
      <c r="B453" t="s">
        <v>354</v>
      </c>
      <c r="C453" t="s">
        <v>1481</v>
      </c>
      <c r="D453">
        <v>-3.0735220000000001</v>
      </c>
      <c r="E453">
        <v>2.4169130000000001</v>
      </c>
      <c r="F453">
        <v>-0.65660949999999996</v>
      </c>
      <c r="G453" s="154">
        <v>11.071429999999999</v>
      </c>
    </row>
    <row r="454" spans="1:7" x14ac:dyDescent="0.25">
      <c r="A454" t="s">
        <v>174</v>
      </c>
      <c r="B454" t="s">
        <v>354</v>
      </c>
      <c r="C454" t="s">
        <v>1482</v>
      </c>
      <c r="D454">
        <v>-2.954774</v>
      </c>
      <c r="E454">
        <v>2.1010490000000002</v>
      </c>
      <c r="F454">
        <v>-0.85372530000000002</v>
      </c>
      <c r="G454" s="154">
        <v>10.130520000000001</v>
      </c>
    </row>
    <row r="455" spans="1:7" x14ac:dyDescent="0.25">
      <c r="A455" t="s">
        <v>174</v>
      </c>
      <c r="B455" t="s">
        <v>354</v>
      </c>
      <c r="C455" t="s">
        <v>1483</v>
      </c>
      <c r="D455">
        <v>-3.0439949999999998</v>
      </c>
      <c r="E455">
        <v>2.1356470000000001</v>
      </c>
      <c r="F455">
        <v>-0.9083483</v>
      </c>
      <c r="G455" s="154">
        <v>10.048780000000001</v>
      </c>
    </row>
    <row r="456" spans="1:7" x14ac:dyDescent="0.25">
      <c r="A456" t="s">
        <v>174</v>
      </c>
      <c r="B456" t="s">
        <v>354</v>
      </c>
      <c r="C456" t="s">
        <v>1484</v>
      </c>
      <c r="D456">
        <v>-3.4368590000000001</v>
      </c>
      <c r="E456">
        <v>2.3547639999999999</v>
      </c>
      <c r="F456">
        <v>-1.0820959999999999</v>
      </c>
      <c r="G456" s="154">
        <v>11.630409999999999</v>
      </c>
    </row>
    <row r="457" spans="1:7" x14ac:dyDescent="0.25">
      <c r="A457" t="s">
        <v>174</v>
      </c>
      <c r="B457" t="s">
        <v>354</v>
      </c>
      <c r="C457" t="s">
        <v>1485</v>
      </c>
      <c r="D457">
        <v>-3.0205579999999999</v>
      </c>
      <c r="E457">
        <v>2.141902</v>
      </c>
      <c r="F457">
        <v>-0.8786564</v>
      </c>
      <c r="G457" s="154">
        <v>10.655239999999999</v>
      </c>
    </row>
    <row r="458" spans="1:7" x14ac:dyDescent="0.25">
      <c r="A458" t="s">
        <v>174</v>
      </c>
      <c r="B458" t="s">
        <v>354</v>
      </c>
      <c r="C458" t="s">
        <v>1486</v>
      </c>
      <c r="D458">
        <v>-2.8253370000000002</v>
      </c>
      <c r="E458">
        <v>2.1163050000000001</v>
      </c>
      <c r="F458">
        <v>-0.7090322</v>
      </c>
      <c r="G458" s="154">
        <v>10.488440000000001</v>
      </c>
    </row>
    <row r="459" spans="1:7" x14ac:dyDescent="0.25">
      <c r="A459" t="s">
        <v>174</v>
      </c>
      <c r="B459" t="s">
        <v>354</v>
      </c>
      <c r="C459" t="s">
        <v>1487</v>
      </c>
      <c r="D459">
        <v>-3.1112679999999999</v>
      </c>
      <c r="E459">
        <v>2.2877649999999998</v>
      </c>
      <c r="F459">
        <v>-0.82350290000000004</v>
      </c>
      <c r="G459" s="154">
        <v>11.28059</v>
      </c>
    </row>
    <row r="460" spans="1:7" x14ac:dyDescent="0.25">
      <c r="A460" t="s">
        <v>174</v>
      </c>
      <c r="B460" t="s">
        <v>354</v>
      </c>
      <c r="C460" t="s">
        <v>1488</v>
      </c>
      <c r="D460">
        <v>-3.0248119999999998</v>
      </c>
      <c r="E460">
        <v>2.1942729999999999</v>
      </c>
      <c r="F460">
        <v>-0.83053849999999996</v>
      </c>
      <c r="G460" s="154">
        <v>10.34112</v>
      </c>
    </row>
    <row r="461" spans="1:7" x14ac:dyDescent="0.25">
      <c r="A461" t="s">
        <v>174</v>
      </c>
      <c r="B461" t="s">
        <v>354</v>
      </c>
      <c r="C461" t="s">
        <v>1489</v>
      </c>
      <c r="D461">
        <v>-2.9287209999999999</v>
      </c>
      <c r="E461">
        <v>2.135456</v>
      </c>
      <c r="F461">
        <v>-0.79326509999999995</v>
      </c>
      <c r="G461" s="154">
        <v>10.59557</v>
      </c>
    </row>
    <row r="462" spans="1:7" x14ac:dyDescent="0.25">
      <c r="A462" t="s">
        <v>174</v>
      </c>
      <c r="B462" t="s">
        <v>354</v>
      </c>
      <c r="C462" t="s">
        <v>1490</v>
      </c>
      <c r="D462">
        <v>-2.9810759999999998</v>
      </c>
      <c r="E462">
        <v>2.2307090000000001</v>
      </c>
      <c r="F462">
        <v>-0.75036700000000001</v>
      </c>
      <c r="G462" s="154">
        <v>10.65856</v>
      </c>
    </row>
    <row r="463" spans="1:7" x14ac:dyDescent="0.25">
      <c r="A463" t="s">
        <v>174</v>
      </c>
      <c r="B463" t="s">
        <v>354</v>
      </c>
      <c r="C463" t="s">
        <v>1491</v>
      </c>
      <c r="D463">
        <v>-3.02339</v>
      </c>
      <c r="E463">
        <v>2.2638699999999998</v>
      </c>
      <c r="F463">
        <v>-0.75952030000000004</v>
      </c>
      <c r="G463" s="154">
        <v>11.39419</v>
      </c>
    </row>
    <row r="464" spans="1:7" x14ac:dyDescent="0.25">
      <c r="A464" t="s">
        <v>174</v>
      </c>
      <c r="B464" t="s">
        <v>354</v>
      </c>
      <c r="C464" t="s">
        <v>1492</v>
      </c>
      <c r="D464">
        <v>-3.1065369999999999</v>
      </c>
      <c r="E464">
        <v>2.2604769999999998</v>
      </c>
      <c r="F464">
        <v>-0.84605980000000003</v>
      </c>
      <c r="G464" s="154">
        <v>10.598129999999999</v>
      </c>
    </row>
    <row r="465" spans="1:7" x14ac:dyDescent="0.25">
      <c r="A465" t="s">
        <v>174</v>
      </c>
      <c r="B465" t="s">
        <v>354</v>
      </c>
      <c r="C465" t="s">
        <v>1493</v>
      </c>
      <c r="D465">
        <v>-3.1529240000000001</v>
      </c>
      <c r="E465">
        <v>2.258667</v>
      </c>
      <c r="F465">
        <v>-0.89425710000000003</v>
      </c>
      <c r="G465" s="154">
        <v>11.38397</v>
      </c>
    </row>
    <row r="466" spans="1:7" x14ac:dyDescent="0.25">
      <c r="A466" t="s">
        <v>174</v>
      </c>
      <c r="B466" t="s">
        <v>354</v>
      </c>
      <c r="C466" t="s">
        <v>1494</v>
      </c>
      <c r="D466">
        <v>-3.1578040000000001</v>
      </c>
      <c r="E466">
        <v>2.3089520000000001</v>
      </c>
      <c r="F466">
        <v>-0.84885259999999996</v>
      </c>
      <c r="G466" s="154">
        <v>10.75231</v>
      </c>
    </row>
    <row r="467" spans="1:7" x14ac:dyDescent="0.25">
      <c r="A467" t="s">
        <v>174</v>
      </c>
      <c r="B467" t="s">
        <v>354</v>
      </c>
      <c r="C467" t="s">
        <v>1495</v>
      </c>
      <c r="D467">
        <v>-2.8643169999999998</v>
      </c>
      <c r="E467">
        <v>2.1555610000000001</v>
      </c>
      <c r="F467">
        <v>-0.7087561</v>
      </c>
      <c r="G467" s="154">
        <v>10.716329999999999</v>
      </c>
    </row>
    <row r="468" spans="1:7" x14ac:dyDescent="0.25">
      <c r="A468" t="s">
        <v>174</v>
      </c>
      <c r="B468" t="s">
        <v>354</v>
      </c>
      <c r="C468" t="s">
        <v>1496</v>
      </c>
      <c r="D468">
        <v>-3.0028000000000001</v>
      </c>
      <c r="E468">
        <v>2.1662539999999999</v>
      </c>
      <c r="F468">
        <v>-0.83654589999999995</v>
      </c>
      <c r="G468" s="154">
        <v>10.07422</v>
      </c>
    </row>
    <row r="469" spans="1:7" x14ac:dyDescent="0.25">
      <c r="A469" t="s">
        <v>174</v>
      </c>
      <c r="B469" t="s">
        <v>354</v>
      </c>
      <c r="C469" t="s">
        <v>1497</v>
      </c>
      <c r="D469">
        <v>-2.9630640000000001</v>
      </c>
      <c r="E469">
        <v>2.182169</v>
      </c>
      <c r="F469">
        <v>-0.78089520000000001</v>
      </c>
      <c r="G469" s="154">
        <v>10.984859999999999</v>
      </c>
    </row>
    <row r="470" spans="1:7" x14ac:dyDescent="0.25">
      <c r="A470" t="s">
        <v>174</v>
      </c>
      <c r="B470" t="s">
        <v>354</v>
      </c>
      <c r="C470" t="s">
        <v>1498</v>
      </c>
      <c r="D470">
        <v>-3.0188980000000001</v>
      </c>
      <c r="E470">
        <v>2.1228259999999999</v>
      </c>
      <c r="F470">
        <v>-0.89607199999999998</v>
      </c>
      <c r="G470" s="154">
        <v>10.42972</v>
      </c>
    </row>
    <row r="471" spans="1:7" x14ac:dyDescent="0.25">
      <c r="A471" t="s">
        <v>174</v>
      </c>
      <c r="B471" t="s">
        <v>354</v>
      </c>
      <c r="C471" t="s">
        <v>1499</v>
      </c>
      <c r="D471">
        <v>-3.4152960000000001</v>
      </c>
      <c r="E471">
        <v>2.4451390000000002</v>
      </c>
      <c r="F471">
        <v>-0.97015669999999998</v>
      </c>
      <c r="G471" s="154">
        <v>11.99578</v>
      </c>
    </row>
    <row r="472" spans="1:7" x14ac:dyDescent="0.25">
      <c r="A472" t="s">
        <v>174</v>
      </c>
      <c r="B472" t="s">
        <v>354</v>
      </c>
      <c r="C472" t="s">
        <v>1500</v>
      </c>
      <c r="D472">
        <v>-2.9427639999999999</v>
      </c>
      <c r="E472">
        <v>2.0314770000000002</v>
      </c>
      <c r="F472">
        <v>-0.91128690000000001</v>
      </c>
      <c r="G472" s="154">
        <v>10.164440000000001</v>
      </c>
    </row>
    <row r="473" spans="1:7" x14ac:dyDescent="0.25">
      <c r="A473" t="s">
        <v>174</v>
      </c>
      <c r="B473" t="s">
        <v>354</v>
      </c>
      <c r="C473" t="s">
        <v>1501</v>
      </c>
      <c r="D473">
        <v>-3.1187589999999998</v>
      </c>
      <c r="E473">
        <v>2.2211439999999998</v>
      </c>
      <c r="F473">
        <v>-0.89761469999999999</v>
      </c>
      <c r="G473" s="154">
        <v>10.550520000000001</v>
      </c>
    </row>
    <row r="474" spans="1:7" x14ac:dyDescent="0.25">
      <c r="A474" t="s">
        <v>174</v>
      </c>
      <c r="B474" t="s">
        <v>354</v>
      </c>
      <c r="C474" t="s">
        <v>1502</v>
      </c>
      <c r="D474">
        <v>-3.0242969999999998</v>
      </c>
      <c r="E474">
        <v>2.2076600000000002</v>
      </c>
      <c r="F474">
        <v>-0.8166369</v>
      </c>
      <c r="G474" s="154">
        <v>11.43689</v>
      </c>
    </row>
    <row r="475" spans="1:7" x14ac:dyDescent="0.25">
      <c r="A475" t="s">
        <v>174</v>
      </c>
      <c r="B475" t="s">
        <v>354</v>
      </c>
      <c r="C475" t="s">
        <v>1503</v>
      </c>
      <c r="D475">
        <v>-3.0793309999999998</v>
      </c>
      <c r="E475">
        <v>2.2731509999999999</v>
      </c>
      <c r="F475">
        <v>-0.80617930000000004</v>
      </c>
      <c r="G475" s="154">
        <v>10.533469999999999</v>
      </c>
    </row>
    <row r="476" spans="1:7" x14ac:dyDescent="0.25">
      <c r="A476" t="s">
        <v>174</v>
      </c>
      <c r="B476" t="s">
        <v>354</v>
      </c>
      <c r="C476" t="s">
        <v>1504</v>
      </c>
      <c r="D476">
        <v>-3.0698120000000002</v>
      </c>
      <c r="E476">
        <v>2.275766</v>
      </c>
      <c r="F476">
        <v>-0.79404549999999996</v>
      </c>
      <c r="G476" s="154">
        <v>10.9147</v>
      </c>
    </row>
    <row r="477" spans="1:7" x14ac:dyDescent="0.25">
      <c r="A477" t="s">
        <v>174</v>
      </c>
      <c r="B477" t="s">
        <v>354</v>
      </c>
      <c r="C477" t="s">
        <v>1505</v>
      </c>
      <c r="D477">
        <v>-2.987568</v>
      </c>
      <c r="E477">
        <v>2.1222150000000002</v>
      </c>
      <c r="F477">
        <v>-0.86535260000000003</v>
      </c>
      <c r="G477" s="154">
        <v>10.32525</v>
      </c>
    </row>
    <row r="478" spans="1:7" x14ac:dyDescent="0.25">
      <c r="A478" t="s">
        <v>174</v>
      </c>
      <c r="B478" t="s">
        <v>354</v>
      </c>
      <c r="C478" t="s">
        <v>1506</v>
      </c>
      <c r="D478">
        <v>-2.9102640000000002</v>
      </c>
      <c r="E478">
        <v>2.1321460000000001</v>
      </c>
      <c r="F478">
        <v>-0.77811719999999995</v>
      </c>
      <c r="G478" s="154">
        <v>10.85656</v>
      </c>
    </row>
    <row r="479" spans="1:7" x14ac:dyDescent="0.25">
      <c r="A479" t="s">
        <v>174</v>
      </c>
      <c r="B479" t="s">
        <v>354</v>
      </c>
      <c r="C479" t="s">
        <v>1507</v>
      </c>
      <c r="D479">
        <v>-3.0391370000000002</v>
      </c>
      <c r="E479">
        <v>2.1288309999999999</v>
      </c>
      <c r="F479">
        <v>-0.91030650000000002</v>
      </c>
      <c r="G479" s="154">
        <v>10.356859999999999</v>
      </c>
    </row>
    <row r="480" spans="1:7" x14ac:dyDescent="0.25">
      <c r="A480" t="s">
        <v>174</v>
      </c>
      <c r="B480" t="s">
        <v>354</v>
      </c>
      <c r="C480" t="s">
        <v>1508</v>
      </c>
      <c r="D480">
        <v>-3.3348089999999999</v>
      </c>
      <c r="E480">
        <v>2.2176670000000001</v>
      </c>
      <c r="F480">
        <v>-1.1171420000000001</v>
      </c>
      <c r="G480" s="154">
        <v>11.639379999999999</v>
      </c>
    </row>
    <row r="481" spans="1:7" x14ac:dyDescent="0.25">
      <c r="A481" t="s">
        <v>174</v>
      </c>
      <c r="B481" t="s">
        <v>354</v>
      </c>
      <c r="C481" t="s">
        <v>1509</v>
      </c>
      <c r="D481">
        <v>-2.918002</v>
      </c>
      <c r="E481">
        <v>2.1541049999999999</v>
      </c>
      <c r="F481">
        <v>-0.76389669999999998</v>
      </c>
      <c r="G481" s="154">
        <v>10.18365</v>
      </c>
    </row>
    <row r="482" spans="1:7" x14ac:dyDescent="0.25">
      <c r="A482" t="s">
        <v>174</v>
      </c>
      <c r="B482" t="s">
        <v>354</v>
      </c>
      <c r="C482" t="s">
        <v>1510</v>
      </c>
      <c r="D482">
        <v>-3.0094319999999999</v>
      </c>
      <c r="E482">
        <v>2.1805210000000002</v>
      </c>
      <c r="F482">
        <v>-0.82891090000000001</v>
      </c>
      <c r="G482" s="154">
        <v>10.898669999999999</v>
      </c>
    </row>
    <row r="483" spans="1:7" x14ac:dyDescent="0.25">
      <c r="A483" t="s">
        <v>174</v>
      </c>
      <c r="B483" t="s">
        <v>354</v>
      </c>
      <c r="C483" t="s">
        <v>1511</v>
      </c>
      <c r="D483">
        <v>-3.1316790000000001</v>
      </c>
      <c r="E483">
        <v>2.287725</v>
      </c>
      <c r="F483">
        <v>-0.84395469999999995</v>
      </c>
      <c r="G483" s="154">
        <v>11.05414</v>
      </c>
    </row>
    <row r="484" spans="1:7" x14ac:dyDescent="0.25">
      <c r="A484" t="s">
        <v>174</v>
      </c>
      <c r="B484" t="s">
        <v>354</v>
      </c>
      <c r="C484" t="s">
        <v>1512</v>
      </c>
      <c r="D484">
        <v>-2.933678</v>
      </c>
      <c r="E484">
        <v>2.0399039999999999</v>
      </c>
      <c r="F484">
        <v>-0.8937737</v>
      </c>
      <c r="G484" s="154">
        <v>10.6157</v>
      </c>
    </row>
    <row r="485" spans="1:7" x14ac:dyDescent="0.25">
      <c r="A485" t="s">
        <v>174</v>
      </c>
      <c r="B485" t="s">
        <v>354</v>
      </c>
      <c r="C485" t="s">
        <v>1513</v>
      </c>
      <c r="D485">
        <v>-3.0247950000000001</v>
      </c>
      <c r="E485">
        <v>2.3410730000000002</v>
      </c>
      <c r="F485">
        <v>-0.68372230000000001</v>
      </c>
      <c r="G485" s="154">
        <v>11.37513</v>
      </c>
    </row>
    <row r="486" spans="1:7" x14ac:dyDescent="0.25">
      <c r="A486" t="s">
        <v>174</v>
      </c>
      <c r="B486" t="s">
        <v>354</v>
      </c>
      <c r="C486" t="s">
        <v>1514</v>
      </c>
      <c r="D486">
        <v>-3.031908</v>
      </c>
      <c r="E486">
        <v>2.2011020000000001</v>
      </c>
      <c r="F486">
        <v>-0.83080549999999997</v>
      </c>
      <c r="G486" s="154">
        <v>10.5899</v>
      </c>
    </row>
    <row r="487" spans="1:7" x14ac:dyDescent="0.25">
      <c r="A487" t="s">
        <v>174</v>
      </c>
      <c r="B487" t="s">
        <v>354</v>
      </c>
      <c r="C487" t="s">
        <v>1515</v>
      </c>
      <c r="D487">
        <v>-3.320808</v>
      </c>
      <c r="E487">
        <v>2.3098999999999998</v>
      </c>
      <c r="F487">
        <v>-1.0109079999999999</v>
      </c>
      <c r="G487" s="154">
        <v>11.488910000000001</v>
      </c>
    </row>
    <row r="488" spans="1:7" x14ac:dyDescent="0.25">
      <c r="A488" t="s">
        <v>174</v>
      </c>
      <c r="B488" t="s">
        <v>354</v>
      </c>
      <c r="C488" t="s">
        <v>1516</v>
      </c>
      <c r="D488">
        <v>-3.1663060000000001</v>
      </c>
      <c r="E488">
        <v>2.347127</v>
      </c>
      <c r="F488">
        <v>-0.81917859999999998</v>
      </c>
      <c r="G488" s="154">
        <v>11.04871</v>
      </c>
    </row>
    <row r="489" spans="1:7" x14ac:dyDescent="0.25">
      <c r="A489" t="s">
        <v>174</v>
      </c>
      <c r="B489" t="s">
        <v>354</v>
      </c>
      <c r="C489" t="s">
        <v>1517</v>
      </c>
      <c r="D489">
        <v>-2.8764569999999998</v>
      </c>
      <c r="E489">
        <v>2.0759919999999998</v>
      </c>
      <c r="F489">
        <v>-0.80046539999999999</v>
      </c>
      <c r="G489" s="154">
        <v>10.17665</v>
      </c>
    </row>
    <row r="490" spans="1:7" x14ac:dyDescent="0.25">
      <c r="A490" t="s">
        <v>174</v>
      </c>
      <c r="B490" t="s">
        <v>354</v>
      </c>
      <c r="C490" t="s">
        <v>1518</v>
      </c>
      <c r="D490">
        <v>-2.9849960000000002</v>
      </c>
      <c r="E490">
        <v>2.2535799999999999</v>
      </c>
      <c r="F490">
        <v>-0.73141619999999996</v>
      </c>
      <c r="G490" s="154">
        <v>10.78528</v>
      </c>
    </row>
    <row r="491" spans="1:7" x14ac:dyDescent="0.25">
      <c r="A491" t="s">
        <v>174</v>
      </c>
      <c r="B491" t="s">
        <v>354</v>
      </c>
      <c r="C491" t="s">
        <v>1519</v>
      </c>
      <c r="D491">
        <v>-3.0449269999999999</v>
      </c>
      <c r="E491">
        <v>2.2622230000000001</v>
      </c>
      <c r="F491">
        <v>-0.78270379999999995</v>
      </c>
      <c r="G491" s="154">
        <v>10.724489999999999</v>
      </c>
    </row>
    <row r="492" spans="1:7" x14ac:dyDescent="0.25">
      <c r="A492" t="s">
        <v>174</v>
      </c>
      <c r="B492" t="s">
        <v>354</v>
      </c>
      <c r="C492" t="s">
        <v>1520</v>
      </c>
      <c r="D492">
        <v>-2.97627</v>
      </c>
      <c r="E492">
        <v>2.0893899999999999</v>
      </c>
      <c r="F492">
        <v>-0.88688</v>
      </c>
      <c r="G492" s="154">
        <v>10.47639</v>
      </c>
    </row>
    <row r="493" spans="1:7" x14ac:dyDescent="0.25">
      <c r="A493" t="s">
        <v>174</v>
      </c>
      <c r="B493" t="s">
        <v>354</v>
      </c>
      <c r="C493" t="s">
        <v>1521</v>
      </c>
      <c r="D493">
        <v>-2.902136</v>
      </c>
      <c r="E493">
        <v>2.534141</v>
      </c>
      <c r="F493">
        <v>-0.36799510000000002</v>
      </c>
      <c r="G493" s="154">
        <v>12.16722</v>
      </c>
    </row>
    <row r="494" spans="1:7" x14ac:dyDescent="0.25">
      <c r="A494" t="s">
        <v>174</v>
      </c>
      <c r="B494" t="s">
        <v>354</v>
      </c>
      <c r="C494" t="s">
        <v>1522</v>
      </c>
      <c r="D494">
        <v>-3.0346929999999999</v>
      </c>
      <c r="E494">
        <v>2.1925400000000002</v>
      </c>
      <c r="F494">
        <v>-0.84215379999999995</v>
      </c>
      <c r="G494" s="154">
        <v>10.74621</v>
      </c>
    </row>
    <row r="495" spans="1:7" x14ac:dyDescent="0.25">
      <c r="A495" t="s">
        <v>174</v>
      </c>
      <c r="B495" t="s">
        <v>354</v>
      </c>
      <c r="C495" t="s">
        <v>1523</v>
      </c>
      <c r="D495">
        <v>-2.914196</v>
      </c>
      <c r="E495">
        <v>2.231074</v>
      </c>
      <c r="F495">
        <v>-0.68312200000000001</v>
      </c>
      <c r="G495" s="154">
        <v>10.724349999999999</v>
      </c>
    </row>
    <row r="496" spans="1:7" x14ac:dyDescent="0.25">
      <c r="A496" t="s">
        <v>174</v>
      </c>
      <c r="B496" t="s">
        <v>354</v>
      </c>
      <c r="C496" t="s">
        <v>1524</v>
      </c>
      <c r="D496">
        <v>-2.940026</v>
      </c>
      <c r="E496">
        <v>1.989358</v>
      </c>
      <c r="F496">
        <v>-0.95066799999999996</v>
      </c>
      <c r="G496" s="154">
        <v>10.56762</v>
      </c>
    </row>
    <row r="497" spans="1:7" x14ac:dyDescent="0.25">
      <c r="A497" t="s">
        <v>174</v>
      </c>
      <c r="B497" t="s">
        <v>354</v>
      </c>
      <c r="C497" t="s">
        <v>1525</v>
      </c>
      <c r="D497">
        <v>-2.9169510000000001</v>
      </c>
      <c r="E497">
        <v>2.1086480000000001</v>
      </c>
      <c r="F497">
        <v>-0.80830349999999995</v>
      </c>
      <c r="G497" s="154">
        <v>10.35707</v>
      </c>
    </row>
    <row r="498" spans="1:7" x14ac:dyDescent="0.25">
      <c r="A498" t="s">
        <v>174</v>
      </c>
      <c r="B498" t="s">
        <v>354</v>
      </c>
      <c r="C498" t="s">
        <v>1526</v>
      </c>
      <c r="D498">
        <v>-3.036511</v>
      </c>
      <c r="E498">
        <v>2.2083080000000002</v>
      </c>
      <c r="F498">
        <v>-0.82820269999999996</v>
      </c>
      <c r="G498" s="154">
        <v>10.978590000000001</v>
      </c>
    </row>
    <row r="499" spans="1:7" x14ac:dyDescent="0.25">
      <c r="A499" t="s">
        <v>174</v>
      </c>
      <c r="B499" t="s">
        <v>354</v>
      </c>
      <c r="C499" t="s">
        <v>1527</v>
      </c>
      <c r="D499">
        <v>-2.898927</v>
      </c>
      <c r="E499">
        <v>2.0957530000000002</v>
      </c>
      <c r="F499">
        <v>-0.80317470000000002</v>
      </c>
      <c r="G499" s="154">
        <v>10.954499999999999</v>
      </c>
    </row>
    <row r="500" spans="1:7" x14ac:dyDescent="0.25">
      <c r="A500" t="s">
        <v>102</v>
      </c>
      <c r="B500" t="s">
        <v>356</v>
      </c>
      <c r="C500" t="s">
        <v>1528</v>
      </c>
      <c r="D500">
        <v>-2.9538950000000002</v>
      </c>
      <c r="E500">
        <v>3.339067</v>
      </c>
      <c r="F500">
        <v>0.38517220000000002</v>
      </c>
      <c r="G500" s="154">
        <v>9.6753680000000006</v>
      </c>
    </row>
    <row r="501" spans="1:7" x14ac:dyDescent="0.25">
      <c r="A501" t="s">
        <v>102</v>
      </c>
      <c r="B501" t="s">
        <v>356</v>
      </c>
      <c r="C501" t="s">
        <v>1371</v>
      </c>
      <c r="D501">
        <v>-4.5113079999999997</v>
      </c>
      <c r="E501">
        <v>3.4482110000000001</v>
      </c>
      <c r="F501">
        <v>-1.063096</v>
      </c>
      <c r="G501" s="154">
        <v>8.9600980000000003</v>
      </c>
    </row>
    <row r="502" spans="1:7" x14ac:dyDescent="0.25">
      <c r="A502" t="s">
        <v>102</v>
      </c>
      <c r="B502" t="s">
        <v>356</v>
      </c>
      <c r="C502" t="s">
        <v>1529</v>
      </c>
      <c r="D502">
        <v>-4.7798369999999997</v>
      </c>
      <c r="E502">
        <v>3.5526420000000001</v>
      </c>
      <c r="F502">
        <v>-1.227196</v>
      </c>
      <c r="G502" s="154">
        <v>8.7286230000000007</v>
      </c>
    </row>
    <row r="503" spans="1:7" x14ac:dyDescent="0.25">
      <c r="A503" t="s">
        <v>102</v>
      </c>
      <c r="B503" t="s">
        <v>356</v>
      </c>
      <c r="C503" t="s">
        <v>1530</v>
      </c>
      <c r="D503">
        <v>-4.1918920000000002</v>
      </c>
      <c r="E503">
        <v>3.5174650000000001</v>
      </c>
      <c r="F503">
        <v>-0.67442729999999995</v>
      </c>
      <c r="G503" s="154">
        <v>8.4137520000000006</v>
      </c>
    </row>
    <row r="504" spans="1:7" x14ac:dyDescent="0.25">
      <c r="A504" t="s">
        <v>102</v>
      </c>
      <c r="B504" t="s">
        <v>356</v>
      </c>
      <c r="C504" t="s">
        <v>1531</v>
      </c>
      <c r="D504">
        <v>-4.8158459999999996</v>
      </c>
      <c r="E504">
        <v>3.5117210000000001</v>
      </c>
      <c r="F504">
        <v>-1.3041259999999999</v>
      </c>
      <c r="G504" s="154">
        <v>9.2535640000000008</v>
      </c>
    </row>
    <row r="505" spans="1:7" x14ac:dyDescent="0.25">
      <c r="A505" t="s">
        <v>102</v>
      </c>
      <c r="B505" t="s">
        <v>356</v>
      </c>
      <c r="C505" t="s">
        <v>1532</v>
      </c>
      <c r="D505">
        <v>-4.4562140000000001</v>
      </c>
      <c r="E505">
        <v>3.5227810000000002</v>
      </c>
      <c r="F505">
        <v>-0.93343319999999996</v>
      </c>
      <c r="G505" s="154">
        <v>8.9290830000000003</v>
      </c>
    </row>
    <row r="506" spans="1:7" x14ac:dyDescent="0.25">
      <c r="A506" t="s">
        <v>25</v>
      </c>
      <c r="B506" t="s">
        <v>296</v>
      </c>
      <c r="C506" t="s">
        <v>1533</v>
      </c>
      <c r="D506">
        <v>-3.9147259999999999</v>
      </c>
      <c r="G506" s="154">
        <v>1.6214219999999999</v>
      </c>
    </row>
    <row r="507" spans="1:7" x14ac:dyDescent="0.25">
      <c r="A507" t="s">
        <v>25</v>
      </c>
      <c r="B507" t="s">
        <v>296</v>
      </c>
      <c r="C507" t="s">
        <v>1534</v>
      </c>
      <c r="D507">
        <v>-3.9517959999999999</v>
      </c>
      <c r="G507" s="154">
        <v>2.59552</v>
      </c>
    </row>
    <row r="508" spans="1:7" x14ac:dyDescent="0.25">
      <c r="A508" t="s">
        <v>25</v>
      </c>
      <c r="B508" t="s">
        <v>296</v>
      </c>
      <c r="C508" t="s">
        <v>1535</v>
      </c>
      <c r="D508">
        <v>-3.8208030000000002</v>
      </c>
      <c r="G508" s="154">
        <v>2.1910889999999998</v>
      </c>
    </row>
    <row r="509" spans="1:7" x14ac:dyDescent="0.25">
      <c r="A509" t="s">
        <v>25</v>
      </c>
      <c r="B509" t="s">
        <v>296</v>
      </c>
      <c r="C509" t="s">
        <v>1536</v>
      </c>
      <c r="D509">
        <v>-3.4773830000000001</v>
      </c>
      <c r="G509" s="154">
        <v>2.9685450000000002</v>
      </c>
    </row>
    <row r="510" spans="1:7" x14ac:dyDescent="0.25">
      <c r="A510" t="s">
        <v>25</v>
      </c>
      <c r="B510" t="s">
        <v>296</v>
      </c>
      <c r="C510" t="s">
        <v>1537</v>
      </c>
      <c r="D510">
        <v>-3.7583410000000002</v>
      </c>
      <c r="G510" s="154">
        <v>1.886096</v>
      </c>
    </row>
    <row r="511" spans="1:7" x14ac:dyDescent="0.25">
      <c r="A511" t="s">
        <v>25</v>
      </c>
      <c r="B511" t="s">
        <v>296</v>
      </c>
      <c r="C511" t="s">
        <v>1538</v>
      </c>
      <c r="D511">
        <v>-4.2269620000000003</v>
      </c>
      <c r="G511" s="154">
        <v>2.0206550000000001</v>
      </c>
    </row>
    <row r="512" spans="1:7" x14ac:dyDescent="0.25">
      <c r="A512" t="s">
        <v>25</v>
      </c>
      <c r="B512" t="s">
        <v>296</v>
      </c>
      <c r="C512" t="s">
        <v>1538</v>
      </c>
      <c r="D512">
        <v>-4.2269620000000003</v>
      </c>
      <c r="G512" s="154">
        <v>2.0206550000000001</v>
      </c>
    </row>
    <row r="513" spans="1:7" x14ac:dyDescent="0.25">
      <c r="A513" t="s">
        <v>25</v>
      </c>
      <c r="B513" t="s">
        <v>296</v>
      </c>
      <c r="C513" t="s">
        <v>1539</v>
      </c>
      <c r="D513">
        <v>-3.6985299999999999</v>
      </c>
      <c r="G513" s="154">
        <v>2.0347490000000001</v>
      </c>
    </row>
    <row r="514" spans="1:7" x14ac:dyDescent="0.25">
      <c r="A514" t="s">
        <v>25</v>
      </c>
      <c r="B514" t="s">
        <v>296</v>
      </c>
      <c r="C514" t="s">
        <v>1540</v>
      </c>
      <c r="D514">
        <v>-3.576317</v>
      </c>
      <c r="G514" s="154">
        <v>1.911295</v>
      </c>
    </row>
    <row r="515" spans="1:7" x14ac:dyDescent="0.25">
      <c r="A515" t="s">
        <v>25</v>
      </c>
      <c r="B515" t="s">
        <v>296</v>
      </c>
      <c r="C515" t="s">
        <v>1541</v>
      </c>
      <c r="D515">
        <v>-4.7416660000000004</v>
      </c>
      <c r="G515" s="154">
        <v>1.5685169999999999</v>
      </c>
    </row>
    <row r="516" spans="1:7" x14ac:dyDescent="0.25">
      <c r="A516" t="s">
        <v>25</v>
      </c>
      <c r="B516" t="s">
        <v>296</v>
      </c>
      <c r="C516" t="s">
        <v>1541</v>
      </c>
      <c r="D516">
        <v>-4.7416660000000004</v>
      </c>
      <c r="G516" s="154">
        <v>1.5685169999999999</v>
      </c>
    </row>
    <row r="517" spans="1:7" x14ac:dyDescent="0.25">
      <c r="A517" t="s">
        <v>25</v>
      </c>
      <c r="B517" t="s">
        <v>296</v>
      </c>
      <c r="C517" t="s">
        <v>1541</v>
      </c>
      <c r="D517">
        <v>-4.7416660000000004</v>
      </c>
      <c r="G517" s="154">
        <v>1.5685169999999999</v>
      </c>
    </row>
    <row r="518" spans="1:7" x14ac:dyDescent="0.25">
      <c r="A518" t="s">
        <v>25</v>
      </c>
      <c r="B518" t="s">
        <v>296</v>
      </c>
      <c r="C518" t="s">
        <v>1541</v>
      </c>
      <c r="D518">
        <v>-4.7416660000000004</v>
      </c>
      <c r="G518" s="154">
        <v>1.5685169999999999</v>
      </c>
    </row>
    <row r="519" spans="1:7" x14ac:dyDescent="0.25">
      <c r="A519" t="s">
        <v>25</v>
      </c>
      <c r="B519" t="s">
        <v>296</v>
      </c>
      <c r="C519" t="s">
        <v>1541</v>
      </c>
      <c r="D519">
        <v>-4.7416660000000004</v>
      </c>
      <c r="G519" s="154">
        <v>1.5685169999999999</v>
      </c>
    </row>
    <row r="520" spans="1:7" x14ac:dyDescent="0.25">
      <c r="A520" t="s">
        <v>25</v>
      </c>
      <c r="B520" t="s">
        <v>296</v>
      </c>
      <c r="C520" t="s">
        <v>1541</v>
      </c>
      <c r="D520">
        <v>-4.7416660000000004</v>
      </c>
      <c r="G520" s="154">
        <v>1.5685169999999999</v>
      </c>
    </row>
    <row r="521" spans="1:7" x14ac:dyDescent="0.25">
      <c r="A521" t="s">
        <v>25</v>
      </c>
      <c r="B521" t="s">
        <v>296</v>
      </c>
      <c r="C521" t="s">
        <v>1541</v>
      </c>
      <c r="D521">
        <v>-4.7416660000000004</v>
      </c>
      <c r="G521" s="154">
        <v>1.5685169999999999</v>
      </c>
    </row>
    <row r="522" spans="1:7" x14ac:dyDescent="0.25">
      <c r="A522" t="s">
        <v>25</v>
      </c>
      <c r="B522" t="s">
        <v>296</v>
      </c>
      <c r="C522" t="s">
        <v>1542</v>
      </c>
      <c r="D522">
        <v>-3.1696369999999998</v>
      </c>
      <c r="G522" s="154">
        <v>4.9573150000000004</v>
      </c>
    </row>
    <row r="523" spans="1:7" x14ac:dyDescent="0.25">
      <c r="A523" t="s">
        <v>25</v>
      </c>
      <c r="B523" t="s">
        <v>296</v>
      </c>
      <c r="C523" t="s">
        <v>1543</v>
      </c>
      <c r="D523">
        <v>-3.6823700000000001</v>
      </c>
      <c r="G523" s="154">
        <v>2.2226840000000001</v>
      </c>
    </row>
    <row r="524" spans="1:7" x14ac:dyDescent="0.25">
      <c r="A524" t="s">
        <v>25</v>
      </c>
      <c r="B524" t="s">
        <v>296</v>
      </c>
      <c r="C524" t="s">
        <v>1544</v>
      </c>
      <c r="D524">
        <v>-3.7245910000000002</v>
      </c>
      <c r="G524" s="154">
        <v>1.493555</v>
      </c>
    </row>
    <row r="525" spans="1:7" x14ac:dyDescent="0.25">
      <c r="A525" t="s">
        <v>25</v>
      </c>
      <c r="B525" t="s">
        <v>296</v>
      </c>
      <c r="C525" t="s">
        <v>1545</v>
      </c>
      <c r="D525">
        <v>-4.5390360000000003</v>
      </c>
      <c r="G525" s="154">
        <v>2.3364319999999998</v>
      </c>
    </row>
    <row r="526" spans="1:7" x14ac:dyDescent="0.25">
      <c r="A526" t="s">
        <v>25</v>
      </c>
      <c r="B526" t="s">
        <v>296</v>
      </c>
      <c r="C526" t="s">
        <v>1545</v>
      </c>
      <c r="D526">
        <v>-4.5390360000000003</v>
      </c>
      <c r="G526" s="154">
        <v>2.3364319999999998</v>
      </c>
    </row>
    <row r="527" spans="1:7" x14ac:dyDescent="0.25">
      <c r="A527" t="s">
        <v>25</v>
      </c>
      <c r="B527" t="s">
        <v>296</v>
      </c>
      <c r="C527" t="s">
        <v>1545</v>
      </c>
      <c r="D527">
        <v>-4.5390360000000003</v>
      </c>
      <c r="G527" s="154">
        <v>2.3364319999999998</v>
      </c>
    </row>
    <row r="528" spans="1:7" x14ac:dyDescent="0.25">
      <c r="A528" t="s">
        <v>25</v>
      </c>
      <c r="B528" t="s">
        <v>296</v>
      </c>
      <c r="C528" t="s">
        <v>1546</v>
      </c>
      <c r="D528">
        <v>-3.7983060000000002</v>
      </c>
      <c r="G528" s="154">
        <v>2.5087280000000001</v>
      </c>
    </row>
    <row r="529" spans="1:7" x14ac:dyDescent="0.25">
      <c r="A529" t="s">
        <v>25</v>
      </c>
      <c r="B529" t="s">
        <v>296</v>
      </c>
      <c r="C529" t="s">
        <v>1547</v>
      </c>
      <c r="D529">
        <v>-3.5024109999999999</v>
      </c>
      <c r="G529" s="154">
        <v>2.8153980000000001</v>
      </c>
    </row>
    <row r="530" spans="1:7" x14ac:dyDescent="0.25">
      <c r="A530" t="s">
        <v>64</v>
      </c>
      <c r="B530" t="s">
        <v>362</v>
      </c>
      <c r="C530" t="s">
        <v>1548</v>
      </c>
      <c r="D530">
        <v>-5.6309909999999999</v>
      </c>
      <c r="E530">
        <v>1.8394539999999999</v>
      </c>
      <c r="F530">
        <v>-3.7915369999999999</v>
      </c>
      <c r="G530" s="154">
        <v>1.69</v>
      </c>
    </row>
    <row r="531" spans="1:7" x14ac:dyDescent="0.25">
      <c r="A531" t="s">
        <v>64</v>
      </c>
      <c r="B531" t="s">
        <v>362</v>
      </c>
      <c r="C531" t="s">
        <v>1549</v>
      </c>
      <c r="D531">
        <v>-5.5202489999999997</v>
      </c>
      <c r="E531">
        <v>1.8573569999999999</v>
      </c>
      <c r="F531">
        <v>-3.6628919999999998</v>
      </c>
      <c r="G531" s="154">
        <v>1.262626</v>
      </c>
    </row>
    <row r="532" spans="1:7" x14ac:dyDescent="0.25">
      <c r="A532" t="s">
        <v>64</v>
      </c>
      <c r="B532" t="s">
        <v>362</v>
      </c>
      <c r="C532" t="s">
        <v>1550</v>
      </c>
      <c r="D532">
        <v>-4.8264709999999997</v>
      </c>
      <c r="E532">
        <v>1.8994500000000001</v>
      </c>
      <c r="F532">
        <v>-2.927022</v>
      </c>
      <c r="G532" s="154">
        <v>1.99</v>
      </c>
    </row>
    <row r="533" spans="1:7" x14ac:dyDescent="0.25">
      <c r="A533" t="s">
        <v>64</v>
      </c>
      <c r="B533" t="s">
        <v>362</v>
      </c>
      <c r="C533" t="s">
        <v>1551</v>
      </c>
      <c r="D533">
        <v>-5.2674440000000002</v>
      </c>
      <c r="E533">
        <v>1.788627</v>
      </c>
      <c r="F533">
        <v>-3.4788169999999998</v>
      </c>
      <c r="G533" s="154">
        <v>2.861386</v>
      </c>
    </row>
    <row r="534" spans="1:7" x14ac:dyDescent="0.25">
      <c r="A534" t="s">
        <v>64</v>
      </c>
      <c r="B534" t="s">
        <v>362</v>
      </c>
      <c r="C534" t="s">
        <v>1552</v>
      </c>
      <c r="D534">
        <v>-6.4818470000000001</v>
      </c>
      <c r="E534">
        <v>1.7766690000000001</v>
      </c>
      <c r="F534">
        <v>-4.7051780000000001</v>
      </c>
      <c r="G534" s="154">
        <v>2.4</v>
      </c>
    </row>
    <row r="535" spans="1:7" x14ac:dyDescent="0.25">
      <c r="A535" t="s">
        <v>64</v>
      </c>
      <c r="B535" t="s">
        <v>362</v>
      </c>
      <c r="C535" t="s">
        <v>1553</v>
      </c>
      <c r="D535">
        <v>-5.2455639999999999</v>
      </c>
      <c r="E535">
        <v>2.1141100000000002</v>
      </c>
      <c r="F535">
        <v>-3.1314540000000002</v>
      </c>
      <c r="G535" s="154">
        <v>1.574257</v>
      </c>
    </row>
    <row r="536" spans="1:7" x14ac:dyDescent="0.25">
      <c r="A536" t="s">
        <v>64</v>
      </c>
      <c r="B536" t="s">
        <v>362</v>
      </c>
      <c r="C536" t="s">
        <v>1554</v>
      </c>
      <c r="D536">
        <v>-4.7816890000000001</v>
      </c>
      <c r="E536">
        <v>1.838908</v>
      </c>
      <c r="F536">
        <v>-2.9427810000000001</v>
      </c>
      <c r="G536" s="154">
        <v>1.74</v>
      </c>
    </row>
    <row r="537" spans="1:7" x14ac:dyDescent="0.25">
      <c r="A537" t="s">
        <v>64</v>
      </c>
      <c r="B537" t="s">
        <v>362</v>
      </c>
      <c r="C537" t="s">
        <v>1555</v>
      </c>
      <c r="D537">
        <v>-5.7697130000000003</v>
      </c>
      <c r="E537">
        <v>1.9887630000000001</v>
      </c>
      <c r="F537">
        <v>-3.7809499999999998</v>
      </c>
      <c r="G537" s="154">
        <v>1.831683</v>
      </c>
    </row>
    <row r="538" spans="1:7" x14ac:dyDescent="0.25">
      <c r="A538" t="s">
        <v>64</v>
      </c>
      <c r="B538" t="s">
        <v>362</v>
      </c>
      <c r="C538" t="s">
        <v>1556</v>
      </c>
      <c r="D538">
        <v>-5.2826389999999996</v>
      </c>
      <c r="E538">
        <v>1.700186</v>
      </c>
      <c r="F538">
        <v>-3.5824530000000001</v>
      </c>
      <c r="G538" s="154">
        <v>1.3030299999999999</v>
      </c>
    </row>
    <row r="539" spans="1:7" x14ac:dyDescent="0.25">
      <c r="A539" t="s">
        <v>64</v>
      </c>
      <c r="B539" t="s">
        <v>362</v>
      </c>
      <c r="C539" t="s">
        <v>1557</v>
      </c>
      <c r="D539">
        <v>-4.7772810000000003</v>
      </c>
      <c r="E539">
        <v>1.6164510000000001</v>
      </c>
      <c r="F539">
        <v>-3.1608299999999998</v>
      </c>
      <c r="G539" s="154">
        <v>0.92</v>
      </c>
    </row>
    <row r="540" spans="1:7" x14ac:dyDescent="0.25">
      <c r="A540" t="s">
        <v>64</v>
      </c>
      <c r="B540" t="s">
        <v>362</v>
      </c>
      <c r="C540" t="s">
        <v>1558</v>
      </c>
      <c r="D540">
        <v>-5.4879559999999996</v>
      </c>
      <c r="E540">
        <v>1.91974</v>
      </c>
      <c r="F540">
        <v>-3.5682149999999999</v>
      </c>
      <c r="G540" s="154">
        <v>1.7326729999999999</v>
      </c>
    </row>
    <row r="541" spans="1:7" x14ac:dyDescent="0.25">
      <c r="A541" t="s">
        <v>64</v>
      </c>
      <c r="B541" t="s">
        <v>362</v>
      </c>
      <c r="C541" t="s">
        <v>1559</v>
      </c>
      <c r="D541">
        <v>-5.6322789999999996</v>
      </c>
      <c r="E541">
        <v>1.8964490000000001</v>
      </c>
      <c r="F541">
        <v>-3.7358310000000001</v>
      </c>
      <c r="G541" s="154">
        <v>2.6</v>
      </c>
    </row>
    <row r="542" spans="1:7" x14ac:dyDescent="0.25">
      <c r="A542" t="s">
        <v>64</v>
      </c>
      <c r="B542" t="s">
        <v>362</v>
      </c>
      <c r="C542" t="s">
        <v>1560</v>
      </c>
      <c r="D542">
        <v>-5.2709330000000003</v>
      </c>
      <c r="E542">
        <v>2.0476930000000002</v>
      </c>
      <c r="F542">
        <v>-3.2232400000000001</v>
      </c>
      <c r="G542" s="154">
        <v>4.75</v>
      </c>
    </row>
    <row r="543" spans="1:7" x14ac:dyDescent="0.25">
      <c r="A543" t="s">
        <v>64</v>
      </c>
      <c r="B543" t="s">
        <v>362</v>
      </c>
      <c r="C543" t="s">
        <v>1561</v>
      </c>
      <c r="D543">
        <v>-5.4831490000000001</v>
      </c>
      <c r="E543">
        <v>1.811124</v>
      </c>
      <c r="F543">
        <v>-3.6720250000000001</v>
      </c>
      <c r="G543" s="154">
        <v>1.43</v>
      </c>
    </row>
    <row r="544" spans="1:7" x14ac:dyDescent="0.25">
      <c r="A544" t="s">
        <v>64</v>
      </c>
      <c r="B544" t="s">
        <v>362</v>
      </c>
      <c r="C544" t="s">
        <v>1562</v>
      </c>
      <c r="D544">
        <v>-4.9735940000000003</v>
      </c>
      <c r="E544">
        <v>1.9371419999999999</v>
      </c>
      <c r="F544">
        <v>-3.0364529999999998</v>
      </c>
      <c r="G544" s="154">
        <v>3.53</v>
      </c>
    </row>
    <row r="545" spans="1:7" x14ac:dyDescent="0.25">
      <c r="A545" t="s">
        <v>64</v>
      </c>
      <c r="B545" t="s">
        <v>362</v>
      </c>
      <c r="C545" t="s">
        <v>1563</v>
      </c>
      <c r="D545">
        <v>-5.9747380000000003</v>
      </c>
      <c r="E545">
        <v>2.8472840000000001</v>
      </c>
      <c r="F545">
        <v>-3.1274540000000002</v>
      </c>
      <c r="G545" s="154">
        <v>5.19</v>
      </c>
    </row>
    <row r="546" spans="1:7" x14ac:dyDescent="0.25">
      <c r="A546" t="s">
        <v>64</v>
      </c>
      <c r="B546" t="s">
        <v>362</v>
      </c>
      <c r="C546" t="s">
        <v>1564</v>
      </c>
      <c r="D546">
        <v>-5.2394129999999999</v>
      </c>
      <c r="E546">
        <v>1.667915</v>
      </c>
      <c r="F546">
        <v>-3.5714980000000001</v>
      </c>
      <c r="G546" s="154">
        <v>3.0396040000000002</v>
      </c>
    </row>
    <row r="547" spans="1:7" x14ac:dyDescent="0.25">
      <c r="A547" t="s">
        <v>64</v>
      </c>
      <c r="B547" t="s">
        <v>362</v>
      </c>
      <c r="C547" t="s">
        <v>1565</v>
      </c>
      <c r="D547">
        <v>-5.01424</v>
      </c>
      <c r="E547">
        <v>1.7026730000000001</v>
      </c>
      <c r="F547">
        <v>-3.3115670000000001</v>
      </c>
      <c r="G547" s="154">
        <v>2.79</v>
      </c>
    </row>
    <row r="548" spans="1:7" x14ac:dyDescent="0.25">
      <c r="A548" t="s">
        <v>86</v>
      </c>
      <c r="B548" t="s">
        <v>422</v>
      </c>
      <c r="C548" t="s">
        <v>1371</v>
      </c>
      <c r="D548">
        <v>-5.2463810000000004</v>
      </c>
      <c r="E548">
        <v>1.9311860000000001</v>
      </c>
      <c r="F548">
        <v>-3.3151950000000001</v>
      </c>
      <c r="G548" s="154">
        <v>4.606185</v>
      </c>
    </row>
    <row r="549" spans="1:7" x14ac:dyDescent="0.25">
      <c r="A549" t="s">
        <v>86</v>
      </c>
      <c r="B549" t="s">
        <v>422</v>
      </c>
      <c r="C549" t="s">
        <v>1530</v>
      </c>
    </row>
    <row r="550" spans="1:7" x14ac:dyDescent="0.25">
      <c r="A550" t="s">
        <v>1371</v>
      </c>
      <c r="B550">
        <v>-5.1121439999999998</v>
      </c>
      <c r="C550">
        <v>1.5981780000000001</v>
      </c>
      <c r="D550">
        <v>-3.5139659999999999</v>
      </c>
      <c r="E550">
        <v>-0.47063519999999998</v>
      </c>
      <c r="F550">
        <v>4.5456969999999997</v>
      </c>
    </row>
    <row r="551" spans="1:7" x14ac:dyDescent="0.25">
      <c r="A551" t="s">
        <v>86</v>
      </c>
      <c r="B551" t="s">
        <v>422</v>
      </c>
      <c r="C551" t="s">
        <v>1530</v>
      </c>
    </row>
    <row r="552" spans="1:7" x14ac:dyDescent="0.25">
      <c r="A552" t="s">
        <v>1377</v>
      </c>
      <c r="B552">
        <v>-4.5567970000000004</v>
      </c>
      <c r="C552">
        <v>1.655508</v>
      </c>
      <c r="D552">
        <v>-2.9012889999999998</v>
      </c>
      <c r="E552">
        <v>-0.5371108</v>
      </c>
      <c r="F552">
        <v>4.8850090000000002</v>
      </c>
    </row>
    <row r="553" spans="1:7" x14ac:dyDescent="0.25">
      <c r="A553" t="s">
        <v>86</v>
      </c>
      <c r="B553" t="s">
        <v>422</v>
      </c>
      <c r="C553" t="s">
        <v>1566</v>
      </c>
    </row>
    <row r="554" spans="1:7" x14ac:dyDescent="0.25">
      <c r="A554" t="s">
        <v>1567</v>
      </c>
      <c r="B554">
        <v>-5.043139</v>
      </c>
      <c r="C554">
        <v>1.666606</v>
      </c>
      <c r="D554">
        <v>-3.3765329999999998</v>
      </c>
      <c r="E554">
        <v>-0.39105960000000001</v>
      </c>
      <c r="F554">
        <v>4.6467239999999999</v>
      </c>
    </row>
    <row r="555" spans="1:7" x14ac:dyDescent="0.25">
      <c r="A555" t="s">
        <v>86</v>
      </c>
      <c r="B555" t="s">
        <v>422</v>
      </c>
      <c r="C555" t="s">
        <v>1568</v>
      </c>
      <c r="D555">
        <v>-5.0732650000000001</v>
      </c>
      <c r="E555">
        <v>1.8509119999999999</v>
      </c>
      <c r="F555">
        <v>-3.222353</v>
      </c>
      <c r="G555" s="154">
        <v>4.8889509999999996</v>
      </c>
    </row>
    <row r="556" spans="1:7" x14ac:dyDescent="0.25">
      <c r="A556" t="s">
        <v>86</v>
      </c>
      <c r="B556" t="s">
        <v>422</v>
      </c>
      <c r="C556" t="s">
        <v>1569</v>
      </c>
      <c r="D556">
        <v>-5.4801900000000003</v>
      </c>
      <c r="E556">
        <v>1.5624279999999999</v>
      </c>
      <c r="F556">
        <v>-3.9177620000000002</v>
      </c>
      <c r="G556" s="154">
        <v>4.2568650000000003</v>
      </c>
    </row>
    <row r="557" spans="1:7" x14ac:dyDescent="0.25">
      <c r="A557" t="s">
        <v>86</v>
      </c>
      <c r="B557" t="s">
        <v>422</v>
      </c>
      <c r="C557" t="s">
        <v>1377</v>
      </c>
      <c r="D557">
        <v>-5.0279699999999998</v>
      </c>
      <c r="E557">
        <v>2.6436639999999998</v>
      </c>
      <c r="F557">
        <v>-2.384306</v>
      </c>
      <c r="G557" s="154">
        <v>5.7775160000000003</v>
      </c>
    </row>
    <row r="558" spans="1:7" x14ac:dyDescent="0.25">
      <c r="A558" t="s">
        <v>124</v>
      </c>
      <c r="B558" t="s">
        <v>368</v>
      </c>
      <c r="C558" t="s">
        <v>1570</v>
      </c>
      <c r="D558">
        <v>-4.0753570000000003</v>
      </c>
      <c r="E558">
        <v>0.63751250000000004</v>
      </c>
      <c r="F558">
        <v>-3.4378449999999998</v>
      </c>
      <c r="G558" s="154">
        <v>10.105420000000001</v>
      </c>
    </row>
    <row r="559" spans="1:7" x14ac:dyDescent="0.25">
      <c r="A559" t="s">
        <v>124</v>
      </c>
      <c r="B559" t="s">
        <v>368</v>
      </c>
      <c r="C559" t="s">
        <v>1571</v>
      </c>
      <c r="D559">
        <v>-3.7563610000000001</v>
      </c>
      <c r="E559">
        <v>0.74541659999999998</v>
      </c>
      <c r="F559">
        <v>-3.0109439999999998</v>
      </c>
      <c r="G559" s="154">
        <v>10.830299999999999</v>
      </c>
    </row>
    <row r="560" spans="1:7" x14ac:dyDescent="0.25">
      <c r="A560" t="s">
        <v>124</v>
      </c>
      <c r="B560" t="s">
        <v>368</v>
      </c>
      <c r="C560" t="s">
        <v>1572</v>
      </c>
      <c r="D560">
        <v>-3.665251</v>
      </c>
      <c r="E560">
        <v>0.71238100000000004</v>
      </c>
      <c r="F560">
        <v>-2.9528699999999999</v>
      </c>
      <c r="G560" s="154">
        <v>10.51252</v>
      </c>
    </row>
    <row r="561" spans="1:7" x14ac:dyDescent="0.25">
      <c r="A561" t="s">
        <v>124</v>
      </c>
      <c r="B561" t="s">
        <v>368</v>
      </c>
      <c r="C561" t="s">
        <v>1573</v>
      </c>
      <c r="D561">
        <v>-4.1684380000000001</v>
      </c>
      <c r="E561">
        <v>0.56311350000000004</v>
      </c>
      <c r="F561">
        <v>-3.6053250000000001</v>
      </c>
      <c r="G561" s="154">
        <v>9.8574669999999998</v>
      </c>
    </row>
    <row r="562" spans="1:7" x14ac:dyDescent="0.25">
      <c r="A562" t="s">
        <v>124</v>
      </c>
      <c r="B562" t="s">
        <v>368</v>
      </c>
      <c r="C562" t="s">
        <v>1574</v>
      </c>
      <c r="D562">
        <v>-3.9025400000000001</v>
      </c>
      <c r="E562">
        <v>0.62274960000000001</v>
      </c>
      <c r="F562">
        <v>-3.2797909999999999</v>
      </c>
      <c r="G562" s="154">
        <v>10.040050000000001</v>
      </c>
    </row>
    <row r="563" spans="1:7" x14ac:dyDescent="0.25">
      <c r="A563" t="s">
        <v>124</v>
      </c>
      <c r="B563" t="s">
        <v>368</v>
      </c>
      <c r="C563" t="s">
        <v>1575</v>
      </c>
      <c r="D563">
        <v>-4.0368769999999996</v>
      </c>
      <c r="E563">
        <v>0.66966179999999997</v>
      </c>
      <c r="F563">
        <v>-3.3672149999999998</v>
      </c>
      <c r="G563" s="154">
        <v>9.9766840000000006</v>
      </c>
    </row>
    <row r="564" spans="1:7" x14ac:dyDescent="0.25">
      <c r="A564" t="s">
        <v>124</v>
      </c>
      <c r="B564" t="s">
        <v>368</v>
      </c>
      <c r="C564" t="s">
        <v>1576</v>
      </c>
      <c r="D564">
        <v>-4.2345360000000003</v>
      </c>
      <c r="E564">
        <v>0.52647809999999995</v>
      </c>
      <c r="F564">
        <v>-3.7080579999999999</v>
      </c>
      <c r="G564" s="154">
        <v>9.4548170000000002</v>
      </c>
    </row>
    <row r="565" spans="1:7" x14ac:dyDescent="0.25">
      <c r="A565" t="s">
        <v>124</v>
      </c>
      <c r="B565" t="s">
        <v>368</v>
      </c>
      <c r="C565" t="s">
        <v>1577</v>
      </c>
      <c r="D565">
        <v>-4.0484270000000002</v>
      </c>
      <c r="E565">
        <v>0.57958419999999999</v>
      </c>
      <c r="F565">
        <v>-3.4688430000000001</v>
      </c>
      <c r="G565" s="154">
        <v>9.6579090000000001</v>
      </c>
    </row>
    <row r="566" spans="1:7" x14ac:dyDescent="0.25">
      <c r="A566" t="s">
        <v>124</v>
      </c>
      <c r="B566" t="s">
        <v>368</v>
      </c>
      <c r="C566" t="s">
        <v>1578</v>
      </c>
      <c r="D566">
        <v>-4.1740789999999999</v>
      </c>
      <c r="E566">
        <v>0.65676610000000002</v>
      </c>
      <c r="F566">
        <v>-3.5173130000000001</v>
      </c>
      <c r="G566" s="154">
        <v>9.8896350000000002</v>
      </c>
    </row>
    <row r="567" spans="1:7" x14ac:dyDescent="0.25">
      <c r="A567" t="s">
        <v>124</v>
      </c>
      <c r="B567" t="s">
        <v>368</v>
      </c>
      <c r="C567" t="s">
        <v>1579</v>
      </c>
      <c r="D567">
        <v>-3.4153060000000002</v>
      </c>
      <c r="E567">
        <v>0.80219050000000003</v>
      </c>
      <c r="F567">
        <v>-2.6131160000000002</v>
      </c>
      <c r="G567" s="154">
        <v>11.31166</v>
      </c>
    </row>
    <row r="568" spans="1:7" x14ac:dyDescent="0.25">
      <c r="A568" t="s">
        <v>125</v>
      </c>
      <c r="B568" t="s">
        <v>363</v>
      </c>
      <c r="C568" t="s">
        <v>1580</v>
      </c>
      <c r="D568">
        <v>-4.5466340000000001</v>
      </c>
      <c r="E568">
        <v>3.4858449999999999</v>
      </c>
      <c r="F568">
        <v>-1.060789</v>
      </c>
      <c r="G568" s="154">
        <v>8.9001599999999996</v>
      </c>
    </row>
    <row r="569" spans="1:7" x14ac:dyDescent="0.25">
      <c r="A569" t="s">
        <v>125</v>
      </c>
      <c r="B569" t="s">
        <v>363</v>
      </c>
      <c r="C569" t="s">
        <v>1581</v>
      </c>
      <c r="D569">
        <v>-4.5164150000000003</v>
      </c>
      <c r="E569">
        <v>3.3555640000000002</v>
      </c>
      <c r="F569">
        <v>-1.1608510000000001</v>
      </c>
      <c r="G569" s="154">
        <v>8.8487980000000004</v>
      </c>
    </row>
    <row r="570" spans="1:7" x14ac:dyDescent="0.25">
      <c r="A570" t="s">
        <v>125</v>
      </c>
      <c r="B570" t="s">
        <v>363</v>
      </c>
      <c r="C570" t="s">
        <v>1582</v>
      </c>
      <c r="D570">
        <v>-4.8402609999999999</v>
      </c>
      <c r="E570">
        <v>3.421265</v>
      </c>
      <c r="F570">
        <v>-1.4189959999999999</v>
      </c>
      <c r="G570" s="154">
        <v>8.3633430000000004</v>
      </c>
    </row>
    <row r="571" spans="1:7" x14ac:dyDescent="0.25">
      <c r="A571" t="s">
        <v>125</v>
      </c>
      <c r="B571" t="s">
        <v>363</v>
      </c>
      <c r="C571" t="s">
        <v>1583</v>
      </c>
      <c r="D571">
        <v>-4.6859890000000002</v>
      </c>
      <c r="E571">
        <v>3.4715739999999999</v>
      </c>
      <c r="F571">
        <v>-1.214415</v>
      </c>
      <c r="G571" s="154">
        <v>8.5246089999999999</v>
      </c>
    </row>
    <row r="572" spans="1:7" x14ac:dyDescent="0.25">
      <c r="A572" t="s">
        <v>125</v>
      </c>
      <c r="B572" t="s">
        <v>363</v>
      </c>
      <c r="C572" t="s">
        <v>1584</v>
      </c>
      <c r="D572">
        <v>-4.1663059999999996</v>
      </c>
      <c r="E572">
        <v>3.4156339999999998</v>
      </c>
      <c r="F572">
        <v>-0.75067229999999996</v>
      </c>
      <c r="G572" s="154">
        <v>8.9864339999999991</v>
      </c>
    </row>
    <row r="573" spans="1:7" x14ac:dyDescent="0.25">
      <c r="A573" t="s">
        <v>125</v>
      </c>
      <c r="B573" t="s">
        <v>363</v>
      </c>
      <c r="C573" t="s">
        <v>1585</v>
      </c>
      <c r="D573">
        <v>-4.2102680000000001</v>
      </c>
      <c r="E573">
        <v>3.4555959999999999</v>
      </c>
      <c r="F573">
        <v>-0.75467220000000002</v>
      </c>
      <c r="G573" s="154">
        <v>9.9910759999999996</v>
      </c>
    </row>
    <row r="574" spans="1:7" x14ac:dyDescent="0.25">
      <c r="A574" t="s">
        <v>125</v>
      </c>
      <c r="B574" t="s">
        <v>363</v>
      </c>
      <c r="C574" t="s">
        <v>1586</v>
      </c>
      <c r="D574">
        <v>-5.4246939999999997</v>
      </c>
      <c r="E574">
        <v>3.5321090000000002</v>
      </c>
      <c r="F574">
        <v>-1.892584</v>
      </c>
      <c r="G574" s="154">
        <v>8.145581</v>
      </c>
    </row>
    <row r="575" spans="1:7" x14ac:dyDescent="0.25">
      <c r="A575" t="s">
        <v>125</v>
      </c>
      <c r="B575" t="s">
        <v>363</v>
      </c>
      <c r="C575" t="s">
        <v>1587</v>
      </c>
      <c r="D575">
        <v>-4.7807120000000003</v>
      </c>
      <c r="E575">
        <v>3.6099130000000001</v>
      </c>
      <c r="F575">
        <v>-1.170798</v>
      </c>
      <c r="G575" s="154">
        <v>8.6392480000000003</v>
      </c>
    </row>
    <row r="576" spans="1:7" x14ac:dyDescent="0.25">
      <c r="A576" t="s">
        <v>125</v>
      </c>
      <c r="B576" t="s">
        <v>363</v>
      </c>
      <c r="C576" t="s">
        <v>1588</v>
      </c>
      <c r="D576">
        <v>-4.442977</v>
      </c>
      <c r="E576">
        <v>3.4199760000000001</v>
      </c>
      <c r="F576">
        <v>-1.023001</v>
      </c>
      <c r="G576" s="154">
        <v>8.8208570000000002</v>
      </c>
    </row>
    <row r="577" spans="1:7" x14ac:dyDescent="0.25">
      <c r="A577" t="s">
        <v>125</v>
      </c>
      <c r="B577" t="s">
        <v>363</v>
      </c>
      <c r="C577" t="s">
        <v>1589</v>
      </c>
      <c r="D577">
        <v>-4.4201079999999999</v>
      </c>
      <c r="E577">
        <v>3.4889619999999999</v>
      </c>
      <c r="F577">
        <v>-0.93114540000000001</v>
      </c>
      <c r="G577" s="154">
        <v>8.6556990000000003</v>
      </c>
    </row>
    <row r="578" spans="1:7" x14ac:dyDescent="0.25">
      <c r="A578" t="s">
        <v>125</v>
      </c>
      <c r="B578" t="s">
        <v>363</v>
      </c>
      <c r="C578" t="s">
        <v>1590</v>
      </c>
      <c r="D578">
        <v>-4.141216</v>
      </c>
      <c r="E578">
        <v>3.4644430000000002</v>
      </c>
      <c r="F578">
        <v>-0.67677339999999997</v>
      </c>
      <c r="G578" s="154">
        <v>9.923254</v>
      </c>
    </row>
    <row r="579" spans="1:7" x14ac:dyDescent="0.25">
      <c r="A579" t="s">
        <v>125</v>
      </c>
      <c r="B579" t="s">
        <v>363</v>
      </c>
      <c r="C579" t="s">
        <v>1591</v>
      </c>
      <c r="D579">
        <v>-4.8397399999999999</v>
      </c>
      <c r="E579">
        <v>3.4719350000000002</v>
      </c>
      <c r="F579">
        <v>-1.3678049999999999</v>
      </c>
      <c r="G579" s="154">
        <v>8.385707</v>
      </c>
    </row>
    <row r="580" spans="1:7" x14ac:dyDescent="0.25">
      <c r="A580" t="s">
        <v>125</v>
      </c>
      <c r="B580" t="s">
        <v>363</v>
      </c>
      <c r="C580" t="s">
        <v>1592</v>
      </c>
      <c r="D580">
        <v>-4.09619</v>
      </c>
      <c r="E580">
        <v>3.4182239999999999</v>
      </c>
      <c r="F580">
        <v>-0.67796610000000002</v>
      </c>
      <c r="G580" s="154">
        <v>10.33165</v>
      </c>
    </row>
    <row r="581" spans="1:7" x14ac:dyDescent="0.25">
      <c r="A581" t="s">
        <v>125</v>
      </c>
      <c r="B581" t="s">
        <v>363</v>
      </c>
      <c r="C581" t="s">
        <v>1593</v>
      </c>
      <c r="D581">
        <v>-5.0198999999999998</v>
      </c>
      <c r="E581">
        <v>3.4651109999999998</v>
      </c>
      <c r="F581">
        <v>-1.5547899999999999</v>
      </c>
      <c r="G581" s="154">
        <v>8.1875199999999992</v>
      </c>
    </row>
    <row r="582" spans="1:7" x14ac:dyDescent="0.25">
      <c r="A582" t="s">
        <v>125</v>
      </c>
      <c r="B582" t="s">
        <v>363</v>
      </c>
      <c r="C582" t="s">
        <v>1594</v>
      </c>
      <c r="D582">
        <v>-4.5200060000000004</v>
      </c>
      <c r="E582">
        <v>3.4867029999999999</v>
      </c>
      <c r="F582">
        <v>-1.0333030000000001</v>
      </c>
      <c r="G582" s="154">
        <v>8.5835659999999994</v>
      </c>
    </row>
    <row r="583" spans="1:7" x14ac:dyDescent="0.25">
      <c r="A583" t="s">
        <v>125</v>
      </c>
      <c r="B583" t="s">
        <v>363</v>
      </c>
      <c r="C583" t="s">
        <v>1595</v>
      </c>
      <c r="D583">
        <v>-4.0409800000000002</v>
      </c>
      <c r="E583">
        <v>3.4177590000000002</v>
      </c>
      <c r="F583">
        <v>-0.62322060000000001</v>
      </c>
      <c r="G583" s="154">
        <v>9.82226</v>
      </c>
    </row>
    <row r="584" spans="1:7" x14ac:dyDescent="0.25">
      <c r="A584" t="s">
        <v>125</v>
      </c>
      <c r="B584" t="s">
        <v>363</v>
      </c>
      <c r="C584" t="s">
        <v>1596</v>
      </c>
      <c r="D584">
        <v>-4.8181839999999996</v>
      </c>
      <c r="E584">
        <v>3.4417740000000001</v>
      </c>
      <c r="F584">
        <v>-1.3764099999999999</v>
      </c>
      <c r="G584" s="154">
        <v>8.009938</v>
      </c>
    </row>
    <row r="585" spans="1:7" x14ac:dyDescent="0.25">
      <c r="A585" t="s">
        <v>125</v>
      </c>
      <c r="B585" t="s">
        <v>363</v>
      </c>
      <c r="C585" t="s">
        <v>1597</v>
      </c>
      <c r="D585">
        <v>-4.4414069999999999</v>
      </c>
      <c r="E585">
        <v>3.4505859999999999</v>
      </c>
      <c r="F585">
        <v>-0.99082170000000003</v>
      </c>
      <c r="G585" s="154">
        <v>8.6964030000000001</v>
      </c>
    </row>
    <row r="586" spans="1:7" x14ac:dyDescent="0.25">
      <c r="A586" t="s">
        <v>125</v>
      </c>
      <c r="B586" t="s">
        <v>363</v>
      </c>
      <c r="C586" t="s">
        <v>1598</v>
      </c>
      <c r="D586">
        <v>-4.9298739999999999</v>
      </c>
      <c r="E586">
        <v>3.4608289999999999</v>
      </c>
      <c r="F586">
        <v>-1.4690460000000001</v>
      </c>
      <c r="G586" s="154">
        <v>8.5046440000000008</v>
      </c>
    </row>
    <row r="587" spans="1:7" x14ac:dyDescent="0.25">
      <c r="A587" t="s">
        <v>125</v>
      </c>
      <c r="B587" t="s">
        <v>363</v>
      </c>
      <c r="C587" t="s">
        <v>1599</v>
      </c>
      <c r="D587">
        <v>-4.4067480000000003</v>
      </c>
      <c r="E587">
        <v>3.4649719999999999</v>
      </c>
      <c r="F587">
        <v>-0.94177569999999999</v>
      </c>
      <c r="G587" s="154">
        <v>8.6612310000000008</v>
      </c>
    </row>
    <row r="588" spans="1:7" x14ac:dyDescent="0.25">
      <c r="A588" t="s">
        <v>125</v>
      </c>
      <c r="B588" t="s">
        <v>363</v>
      </c>
      <c r="C588" t="s">
        <v>1600</v>
      </c>
      <c r="D588">
        <v>-4.3306190000000004</v>
      </c>
      <c r="E588">
        <v>3.423867</v>
      </c>
      <c r="F588">
        <v>-0.90675130000000004</v>
      </c>
      <c r="G588" s="154">
        <v>9.6293159999999993</v>
      </c>
    </row>
    <row r="589" spans="1:7" x14ac:dyDescent="0.25">
      <c r="A589" t="s">
        <v>125</v>
      </c>
      <c r="B589" t="s">
        <v>363</v>
      </c>
      <c r="C589" t="s">
        <v>1601</v>
      </c>
      <c r="D589">
        <v>-4.6428960000000004</v>
      </c>
      <c r="E589">
        <v>3.4498190000000002</v>
      </c>
      <c r="F589">
        <v>-1.1930769999999999</v>
      </c>
      <c r="G589" s="154">
        <v>8.4711020000000001</v>
      </c>
    </row>
    <row r="590" spans="1:7" x14ac:dyDescent="0.25">
      <c r="A590" t="s">
        <v>125</v>
      </c>
      <c r="B590" t="s">
        <v>363</v>
      </c>
      <c r="C590" t="s">
        <v>1602</v>
      </c>
      <c r="D590">
        <v>-4.1174590000000002</v>
      </c>
      <c r="E590">
        <v>3.4758589999999998</v>
      </c>
      <c r="F590">
        <v>-0.64159999999999995</v>
      </c>
      <c r="G590" s="154">
        <v>10.03825</v>
      </c>
    </row>
    <row r="591" spans="1:7" x14ac:dyDescent="0.25">
      <c r="A591" t="s">
        <v>125</v>
      </c>
      <c r="B591" t="s">
        <v>363</v>
      </c>
      <c r="C591" t="s">
        <v>1603</v>
      </c>
      <c r="D591">
        <v>-5.1577960000000003</v>
      </c>
      <c r="E591">
        <v>3.5235400000000001</v>
      </c>
      <c r="F591">
        <v>-1.6342559999999999</v>
      </c>
      <c r="G591" s="154">
        <v>8.1216530000000002</v>
      </c>
    </row>
    <row r="592" spans="1:7" x14ac:dyDescent="0.25">
      <c r="A592" t="s">
        <v>125</v>
      </c>
      <c r="B592" t="s">
        <v>363</v>
      </c>
      <c r="C592" t="s">
        <v>1604</v>
      </c>
      <c r="D592">
        <v>-3.3614389999999998</v>
      </c>
      <c r="E592">
        <v>3.4380999999999999</v>
      </c>
      <c r="F592">
        <v>7.6660900000000004E-2</v>
      </c>
      <c r="G592" s="154">
        <v>11.0085</v>
      </c>
    </row>
    <row r="593" spans="1:7" x14ac:dyDescent="0.25">
      <c r="A593" t="s">
        <v>125</v>
      </c>
      <c r="B593" t="s">
        <v>363</v>
      </c>
      <c r="C593" t="s">
        <v>1605</v>
      </c>
      <c r="D593">
        <v>-4.2820320000000001</v>
      </c>
      <c r="E593">
        <v>3.5040990000000001</v>
      </c>
      <c r="F593">
        <v>-0.77793350000000006</v>
      </c>
      <c r="G593" s="154">
        <v>8.5272539999999992</v>
      </c>
    </row>
    <row r="594" spans="1:7" x14ac:dyDescent="0.25">
      <c r="A594" t="s">
        <v>125</v>
      </c>
      <c r="B594" t="s">
        <v>363</v>
      </c>
      <c r="C594" t="s">
        <v>1606</v>
      </c>
      <c r="D594">
        <v>-4.2831799999999998</v>
      </c>
      <c r="E594">
        <v>3.4539840000000002</v>
      </c>
      <c r="F594">
        <v>-0.82919529999999997</v>
      </c>
      <c r="G594" s="154">
        <v>8.4768109999999997</v>
      </c>
    </row>
    <row r="595" spans="1:7" x14ac:dyDescent="0.25">
      <c r="A595" t="s">
        <v>125</v>
      </c>
      <c r="B595" t="s">
        <v>363</v>
      </c>
      <c r="C595" t="s">
        <v>1607</v>
      </c>
      <c r="D595">
        <v>-4.3677659999999996</v>
      </c>
      <c r="E595">
        <v>3.481843</v>
      </c>
      <c r="F595">
        <v>-0.88592360000000003</v>
      </c>
      <c r="G595" s="154">
        <v>8.851782</v>
      </c>
    </row>
    <row r="596" spans="1:7" x14ac:dyDescent="0.25">
      <c r="A596" t="s">
        <v>125</v>
      </c>
      <c r="B596" t="s">
        <v>363</v>
      </c>
      <c r="C596" t="s">
        <v>1608</v>
      </c>
      <c r="D596">
        <v>-4.5593430000000001</v>
      </c>
      <c r="E596">
        <v>3.6154649999999999</v>
      </c>
      <c r="F596">
        <v>-0.94387739999999998</v>
      </c>
      <c r="G596" s="154">
        <v>8.8143309999999992</v>
      </c>
    </row>
    <row r="597" spans="1:7" x14ac:dyDescent="0.25">
      <c r="A597" t="s">
        <v>125</v>
      </c>
      <c r="B597" t="s">
        <v>363</v>
      </c>
      <c r="C597" t="s">
        <v>1609</v>
      </c>
      <c r="D597">
        <v>-4.1989770000000002</v>
      </c>
      <c r="E597">
        <v>3.439635</v>
      </c>
      <c r="F597">
        <v>-0.75934299999999999</v>
      </c>
      <c r="G597" s="154">
        <v>9.0764770000000006</v>
      </c>
    </row>
    <row r="598" spans="1:7" x14ac:dyDescent="0.25">
      <c r="A598" t="s">
        <v>125</v>
      </c>
      <c r="B598" t="s">
        <v>363</v>
      </c>
      <c r="C598" t="s">
        <v>1610</v>
      </c>
      <c r="D598">
        <v>-3.9609260000000002</v>
      </c>
      <c r="E598">
        <v>3.4789460000000001</v>
      </c>
      <c r="F598">
        <v>-0.4819792</v>
      </c>
      <c r="G598" s="154">
        <v>9.5841360000000009</v>
      </c>
    </row>
    <row r="599" spans="1:7" x14ac:dyDescent="0.25">
      <c r="A599" t="s">
        <v>125</v>
      </c>
      <c r="B599" t="s">
        <v>363</v>
      </c>
      <c r="C599" t="s">
        <v>1611</v>
      </c>
      <c r="D599">
        <v>-4.7389270000000003</v>
      </c>
      <c r="E599">
        <v>3.4032279999999999</v>
      </c>
      <c r="F599">
        <v>-1.335699</v>
      </c>
      <c r="G599" s="154">
        <v>7.9611660000000004</v>
      </c>
    </row>
    <row r="600" spans="1:7" x14ac:dyDescent="0.25">
      <c r="A600" t="s">
        <v>95</v>
      </c>
      <c r="B600" t="s">
        <v>384</v>
      </c>
      <c r="C600" t="s">
        <v>1612</v>
      </c>
      <c r="E600">
        <v>1.0267360000000001</v>
      </c>
      <c r="F600">
        <v>-2.925516</v>
      </c>
      <c r="G600" s="154">
        <v>2.4138000000000002</v>
      </c>
    </row>
    <row r="601" spans="1:7" x14ac:dyDescent="0.25">
      <c r="A601" t="s">
        <v>95</v>
      </c>
      <c r="B601" t="s">
        <v>384</v>
      </c>
      <c r="C601" t="s">
        <v>1613</v>
      </c>
      <c r="E601">
        <v>0.93472770000000005</v>
      </c>
      <c r="F601">
        <v>-3.0345680000000002</v>
      </c>
      <c r="G601" s="154">
        <v>1.8037810000000001</v>
      </c>
    </row>
    <row r="602" spans="1:7" x14ac:dyDescent="0.25">
      <c r="A602" t="s">
        <v>95</v>
      </c>
      <c r="B602" t="s">
        <v>384</v>
      </c>
      <c r="C602" t="s">
        <v>1614</v>
      </c>
      <c r="E602">
        <v>1.153389</v>
      </c>
      <c r="F602">
        <v>-2.385837</v>
      </c>
      <c r="G602" s="154">
        <v>2.6297999999999999</v>
      </c>
    </row>
    <row r="603" spans="1:7" x14ac:dyDescent="0.25">
      <c r="A603" t="s">
        <v>95</v>
      </c>
      <c r="B603" t="s">
        <v>384</v>
      </c>
      <c r="C603" t="s">
        <v>1615</v>
      </c>
      <c r="E603">
        <v>0.83917160000000002</v>
      </c>
      <c r="F603">
        <v>-3.131955</v>
      </c>
      <c r="G603" s="154">
        <v>2.0048010000000001</v>
      </c>
    </row>
    <row r="604" spans="1:7" x14ac:dyDescent="0.25">
      <c r="A604" t="s">
        <v>95</v>
      </c>
      <c r="B604" t="s">
        <v>384</v>
      </c>
      <c r="C604" t="s">
        <v>1616</v>
      </c>
      <c r="E604">
        <v>1.641988</v>
      </c>
      <c r="F604">
        <v>-1.7223619999999999</v>
      </c>
      <c r="G604" s="154">
        <v>3.668167</v>
      </c>
    </row>
    <row r="605" spans="1:7" x14ac:dyDescent="0.25">
      <c r="A605" t="s">
        <v>95</v>
      </c>
      <c r="B605" t="s">
        <v>384</v>
      </c>
      <c r="C605" t="s">
        <v>1617</v>
      </c>
      <c r="E605">
        <v>0.4755567</v>
      </c>
      <c r="F605">
        <v>-3.083297</v>
      </c>
      <c r="G605" s="154">
        <v>2.4314429999999998</v>
      </c>
    </row>
    <row r="606" spans="1:7" x14ac:dyDescent="0.25">
      <c r="A606" t="s">
        <v>95</v>
      </c>
      <c r="B606" t="s">
        <v>384</v>
      </c>
      <c r="C606" t="s">
        <v>1618</v>
      </c>
      <c r="E606">
        <v>0.86075880000000005</v>
      </c>
      <c r="F606">
        <v>-2.9267919999999998</v>
      </c>
      <c r="G606" s="154">
        <v>1.5973599999999999</v>
      </c>
    </row>
    <row r="607" spans="1:7" x14ac:dyDescent="0.25">
      <c r="A607" t="s">
        <v>95</v>
      </c>
      <c r="B607" t="s">
        <v>384</v>
      </c>
      <c r="C607" t="s">
        <v>1619</v>
      </c>
      <c r="E607">
        <v>0.73915730000000002</v>
      </c>
      <c r="F607">
        <v>-2.9744350000000002</v>
      </c>
      <c r="G607" s="154">
        <v>2.3018299999999998</v>
      </c>
    </row>
    <row r="608" spans="1:7" x14ac:dyDescent="0.25">
      <c r="A608" t="s">
        <v>95</v>
      </c>
      <c r="B608" t="s">
        <v>384</v>
      </c>
      <c r="C608" t="s">
        <v>1620</v>
      </c>
      <c r="E608">
        <v>0.80685510000000005</v>
      </c>
      <c r="F608">
        <v>-2.7882370000000001</v>
      </c>
      <c r="G608" s="154">
        <v>2.3864390000000002</v>
      </c>
    </row>
    <row r="609" spans="1:7" x14ac:dyDescent="0.25">
      <c r="A609" t="s">
        <v>95</v>
      </c>
      <c r="B609" t="s">
        <v>384</v>
      </c>
      <c r="C609" t="s">
        <v>1621</v>
      </c>
      <c r="E609">
        <v>1.140541</v>
      </c>
      <c r="F609">
        <v>-2.401265</v>
      </c>
      <c r="G609" s="154">
        <v>3.8139820000000002</v>
      </c>
    </row>
    <row r="610" spans="1:7" x14ac:dyDescent="0.25">
      <c r="A610" t="s">
        <v>95</v>
      </c>
      <c r="B610" t="s">
        <v>384</v>
      </c>
      <c r="C610" t="s">
        <v>1622</v>
      </c>
      <c r="E610">
        <v>0.85242390000000001</v>
      </c>
      <c r="F610">
        <v>-2.844846</v>
      </c>
      <c r="G610" s="154">
        <v>1.8053999999999999</v>
      </c>
    </row>
    <row r="611" spans="1:7" x14ac:dyDescent="0.25">
      <c r="A611" t="s">
        <v>95</v>
      </c>
      <c r="B611" t="s">
        <v>384</v>
      </c>
      <c r="C611" t="s">
        <v>1623</v>
      </c>
      <c r="E611">
        <v>0.65137429999999996</v>
      </c>
      <c r="F611">
        <v>-3.3163490000000002</v>
      </c>
      <c r="G611" s="154">
        <v>1.8498000000000001</v>
      </c>
    </row>
    <row r="612" spans="1:7" x14ac:dyDescent="0.25">
      <c r="A612" t="s">
        <v>95</v>
      </c>
      <c r="B612" t="s">
        <v>384</v>
      </c>
      <c r="C612" t="s">
        <v>1624</v>
      </c>
      <c r="E612">
        <v>1.128668</v>
      </c>
      <c r="F612">
        <v>-2.5349879999999998</v>
      </c>
      <c r="G612" s="154">
        <v>2.1915809999999998</v>
      </c>
    </row>
    <row r="613" spans="1:7" x14ac:dyDescent="0.25">
      <c r="A613" t="s">
        <v>95</v>
      </c>
      <c r="B613" t="s">
        <v>384</v>
      </c>
      <c r="C613" t="s">
        <v>1625</v>
      </c>
      <c r="E613">
        <v>0.73005149999999996</v>
      </c>
      <c r="F613">
        <v>-3.5682580000000002</v>
      </c>
      <c r="G613" s="154">
        <v>1.6446000000000001</v>
      </c>
    </row>
    <row r="614" spans="1:7" x14ac:dyDescent="0.25">
      <c r="A614" t="s">
        <v>65</v>
      </c>
      <c r="B614" t="s">
        <v>381</v>
      </c>
      <c r="C614" t="s">
        <v>1626</v>
      </c>
      <c r="F614">
        <v>-3.972756</v>
      </c>
      <c r="G614" s="154">
        <v>6.4177439999999999</v>
      </c>
    </row>
    <row r="615" spans="1:7" x14ac:dyDescent="0.25">
      <c r="A615" t="s">
        <v>65</v>
      </c>
      <c r="B615" t="s">
        <v>381</v>
      </c>
      <c r="C615" t="s">
        <v>1627</v>
      </c>
      <c r="F615">
        <v>-2.5708479999999998</v>
      </c>
      <c r="G615" s="154">
        <v>8.7165300000000006</v>
      </c>
    </row>
    <row r="616" spans="1:7" x14ac:dyDescent="0.25">
      <c r="A616" t="s">
        <v>65</v>
      </c>
      <c r="B616" t="s">
        <v>381</v>
      </c>
      <c r="C616" t="s">
        <v>1530</v>
      </c>
      <c r="F616">
        <v>-3.501709</v>
      </c>
      <c r="G616" s="154">
        <v>6.6508690000000001</v>
      </c>
    </row>
    <row r="617" spans="1:7" x14ac:dyDescent="0.25">
      <c r="A617" t="s">
        <v>65</v>
      </c>
      <c r="B617" t="s">
        <v>381</v>
      </c>
      <c r="C617" t="s">
        <v>1531</v>
      </c>
      <c r="F617">
        <v>-4.1555289999999996</v>
      </c>
      <c r="G617" s="154">
        <v>6.6159239999999997</v>
      </c>
    </row>
    <row r="618" spans="1:7" x14ac:dyDescent="0.25">
      <c r="A618" t="s">
        <v>56</v>
      </c>
      <c r="B618" t="s">
        <v>372</v>
      </c>
      <c r="C618" t="s">
        <v>1628</v>
      </c>
      <c r="D618">
        <v>-3.226664</v>
      </c>
      <c r="G618" s="154">
        <v>4.2602960000000003</v>
      </c>
    </row>
    <row r="619" spans="1:7" x14ac:dyDescent="0.25">
      <c r="A619" t="s">
        <v>56</v>
      </c>
      <c r="B619" t="s">
        <v>372</v>
      </c>
      <c r="C619" t="s">
        <v>1629</v>
      </c>
      <c r="D619">
        <v>-3.4287459999999998</v>
      </c>
      <c r="G619" s="154">
        <v>1.732178</v>
      </c>
    </row>
    <row r="620" spans="1:7" x14ac:dyDescent="0.25">
      <c r="A620" t="s">
        <v>56</v>
      </c>
      <c r="B620" t="s">
        <v>372</v>
      </c>
      <c r="C620" t="s">
        <v>1630</v>
      </c>
      <c r="D620">
        <v>-2.4422980000000001</v>
      </c>
      <c r="G620" s="154">
        <v>2.0512999999999999</v>
      </c>
    </row>
    <row r="621" spans="1:7" x14ac:dyDescent="0.25">
      <c r="A621" t="s">
        <v>56</v>
      </c>
      <c r="B621" t="s">
        <v>372</v>
      </c>
      <c r="C621" t="s">
        <v>1631</v>
      </c>
      <c r="D621">
        <v>-4.1702349999999999</v>
      </c>
      <c r="G621" s="154">
        <v>1.7043699999999999</v>
      </c>
    </row>
    <row r="622" spans="1:7" x14ac:dyDescent="0.25">
      <c r="A622" t="s">
        <v>56</v>
      </c>
      <c r="B622" t="s">
        <v>372</v>
      </c>
      <c r="C622" t="s">
        <v>1632</v>
      </c>
      <c r="D622">
        <v>-4.1576829999999996</v>
      </c>
      <c r="G622" s="154">
        <v>2.1479729999999999</v>
      </c>
    </row>
    <row r="623" spans="1:7" x14ac:dyDescent="0.25">
      <c r="A623" t="s">
        <v>56</v>
      </c>
      <c r="B623" t="s">
        <v>372</v>
      </c>
      <c r="C623" t="s">
        <v>1633</v>
      </c>
      <c r="D623">
        <v>-4.4971120000000004</v>
      </c>
      <c r="G623" s="154">
        <v>1.5104960000000001</v>
      </c>
    </row>
    <row r="624" spans="1:7" x14ac:dyDescent="0.25">
      <c r="A624" t="s">
        <v>138</v>
      </c>
      <c r="B624" t="s">
        <v>380</v>
      </c>
      <c r="C624" t="s">
        <v>1634</v>
      </c>
      <c r="E624">
        <v>1.2580579999999999</v>
      </c>
      <c r="F624">
        <v>-1.9962420000000001</v>
      </c>
      <c r="G624" s="154">
        <v>7.596349</v>
      </c>
    </row>
    <row r="625" spans="1:7" x14ac:dyDescent="0.25">
      <c r="A625" t="s">
        <v>138</v>
      </c>
      <c r="B625" t="s">
        <v>380</v>
      </c>
      <c r="C625" t="s">
        <v>1635</v>
      </c>
      <c r="E625">
        <v>1.8445659999999999</v>
      </c>
      <c r="F625">
        <v>-1.7167079999999999</v>
      </c>
      <c r="G625" s="154">
        <v>7.8508680000000002</v>
      </c>
    </row>
    <row r="626" spans="1:7" x14ac:dyDescent="0.25">
      <c r="A626" t="s">
        <v>138</v>
      </c>
      <c r="B626" t="s">
        <v>380</v>
      </c>
      <c r="C626" t="s">
        <v>1636</v>
      </c>
      <c r="E626">
        <v>1.3818159999999999</v>
      </c>
      <c r="F626">
        <v>-1.729576</v>
      </c>
      <c r="G626" s="154">
        <v>8.0204500000000003</v>
      </c>
    </row>
    <row r="627" spans="1:7" x14ac:dyDescent="0.25">
      <c r="A627" t="s">
        <v>138</v>
      </c>
      <c r="B627" t="s">
        <v>380</v>
      </c>
      <c r="C627" t="s">
        <v>1637</v>
      </c>
      <c r="E627">
        <v>1.236837</v>
      </c>
      <c r="F627">
        <v>-1.9824470000000001</v>
      </c>
      <c r="G627" s="154">
        <v>6.8498979999999996</v>
      </c>
    </row>
    <row r="628" spans="1:7" x14ac:dyDescent="0.25">
      <c r="A628" t="s">
        <v>138</v>
      </c>
      <c r="B628" t="s">
        <v>380</v>
      </c>
      <c r="C628" t="s">
        <v>1638</v>
      </c>
      <c r="E628">
        <v>0.32886539999999997</v>
      </c>
      <c r="F628">
        <v>-3.164723</v>
      </c>
      <c r="G628" s="154">
        <v>4.9949349999999999</v>
      </c>
    </row>
    <row r="629" spans="1:7" x14ac:dyDescent="0.25">
      <c r="A629" t="s">
        <v>138</v>
      </c>
      <c r="B629" t="s">
        <v>380</v>
      </c>
      <c r="C629" t="s">
        <v>1639</v>
      </c>
      <c r="E629">
        <v>1.830802</v>
      </c>
      <c r="F629">
        <v>-1.7569220000000001</v>
      </c>
      <c r="G629" s="154">
        <v>7.2558610000000003</v>
      </c>
    </row>
    <row r="630" spans="1:7" x14ac:dyDescent="0.25">
      <c r="A630" t="s">
        <v>138</v>
      </c>
      <c r="B630" t="s">
        <v>380</v>
      </c>
      <c r="C630" t="s">
        <v>1640</v>
      </c>
      <c r="E630">
        <v>1.57521</v>
      </c>
      <c r="F630">
        <v>-1.8479779999999999</v>
      </c>
      <c r="G630" s="154">
        <v>7.9736570000000002</v>
      </c>
    </row>
    <row r="631" spans="1:7" x14ac:dyDescent="0.25">
      <c r="A631" t="s">
        <v>138</v>
      </c>
      <c r="B631" t="s">
        <v>380</v>
      </c>
      <c r="C631" t="s">
        <v>1641</v>
      </c>
      <c r="E631">
        <v>1.0224869999999999</v>
      </c>
      <c r="F631">
        <v>-2.0532859999999999</v>
      </c>
      <c r="G631" s="154">
        <v>7.3805670000000001</v>
      </c>
    </row>
    <row r="632" spans="1:7" x14ac:dyDescent="0.25">
      <c r="A632" t="s">
        <v>138</v>
      </c>
      <c r="B632" t="s">
        <v>380</v>
      </c>
      <c r="C632" t="s">
        <v>1052</v>
      </c>
      <c r="E632">
        <v>1.6966829999999999</v>
      </c>
      <c r="F632">
        <v>-1.4275850000000001</v>
      </c>
      <c r="G632" s="154">
        <v>9.3631729999999997</v>
      </c>
    </row>
    <row r="633" spans="1:7" x14ac:dyDescent="0.25">
      <c r="A633" t="s">
        <v>138</v>
      </c>
      <c r="B633" t="s">
        <v>380</v>
      </c>
      <c r="C633" t="s">
        <v>1642</v>
      </c>
      <c r="E633">
        <v>1.0991040000000001</v>
      </c>
      <c r="F633">
        <v>-2.4026450000000001</v>
      </c>
      <c r="G633" s="154">
        <v>6.8493430000000002</v>
      </c>
    </row>
    <row r="634" spans="1:7" x14ac:dyDescent="0.25">
      <c r="A634" t="s">
        <v>138</v>
      </c>
      <c r="B634" t="s">
        <v>380</v>
      </c>
      <c r="C634" t="s">
        <v>1643</v>
      </c>
      <c r="E634">
        <v>1.077879</v>
      </c>
      <c r="F634">
        <v>-2.2218140000000002</v>
      </c>
      <c r="G634" s="154">
        <v>6.0668689999999996</v>
      </c>
    </row>
    <row r="635" spans="1:7" x14ac:dyDescent="0.25">
      <c r="A635" t="s">
        <v>138</v>
      </c>
      <c r="B635" t="s">
        <v>380</v>
      </c>
      <c r="C635" t="s">
        <v>1644</v>
      </c>
      <c r="E635">
        <v>0.1158059</v>
      </c>
      <c r="F635">
        <v>-3.0698629999999998</v>
      </c>
      <c r="G635" s="154">
        <v>5.8386110000000002</v>
      </c>
    </row>
    <row r="636" spans="1:7" x14ac:dyDescent="0.25">
      <c r="A636" t="s">
        <v>138</v>
      </c>
      <c r="B636" t="s">
        <v>380</v>
      </c>
      <c r="C636" t="s">
        <v>1645</v>
      </c>
      <c r="E636">
        <v>0.67097709999999999</v>
      </c>
      <c r="F636">
        <v>-2.6813989999999999</v>
      </c>
      <c r="G636" s="154">
        <v>6.3593909999999996</v>
      </c>
    </row>
    <row r="637" spans="1:7" x14ac:dyDescent="0.25">
      <c r="A637" t="s">
        <v>138</v>
      </c>
      <c r="B637" t="s">
        <v>380</v>
      </c>
      <c r="C637" t="s">
        <v>1646</v>
      </c>
      <c r="E637">
        <v>1.1434230000000001</v>
      </c>
      <c r="F637">
        <v>-2.0925760000000002</v>
      </c>
      <c r="G637" s="154">
        <v>7.2020299999999997</v>
      </c>
    </row>
    <row r="638" spans="1:7" x14ac:dyDescent="0.25">
      <c r="A638" t="s">
        <v>138</v>
      </c>
      <c r="B638" t="s">
        <v>380</v>
      </c>
      <c r="C638" t="s">
        <v>138</v>
      </c>
      <c r="E638">
        <v>0.7072058</v>
      </c>
      <c r="F638">
        <v>-2.7104010000000001</v>
      </c>
      <c r="G638" s="154">
        <v>7.6826040000000004</v>
      </c>
    </row>
    <row r="639" spans="1:7" x14ac:dyDescent="0.25">
      <c r="A639" t="s">
        <v>138</v>
      </c>
      <c r="B639" t="s">
        <v>380</v>
      </c>
      <c r="C639" t="s">
        <v>1647</v>
      </c>
      <c r="E639">
        <v>0.3700193</v>
      </c>
      <c r="F639">
        <v>-2.738216</v>
      </c>
      <c r="G639" s="154">
        <v>5.8274109999999997</v>
      </c>
    </row>
    <row r="640" spans="1:7" x14ac:dyDescent="0.25">
      <c r="A640" t="s">
        <v>138</v>
      </c>
      <c r="B640" t="s">
        <v>380</v>
      </c>
      <c r="C640" t="s">
        <v>1648</v>
      </c>
      <c r="E640">
        <v>0.51831629999999995</v>
      </c>
      <c r="F640">
        <v>-2.4869240000000001</v>
      </c>
      <c r="G640" s="154">
        <v>7.3604060000000002</v>
      </c>
    </row>
    <row r="641" spans="1:7" x14ac:dyDescent="0.25">
      <c r="A641" t="s">
        <v>138</v>
      </c>
      <c r="B641" t="s">
        <v>380</v>
      </c>
      <c r="C641" t="s">
        <v>1649</v>
      </c>
      <c r="E641">
        <v>0.63520339999999997</v>
      </c>
      <c r="F641">
        <v>-2.5470969999999999</v>
      </c>
      <c r="G641" s="154">
        <v>6.9261879999999998</v>
      </c>
    </row>
    <row r="642" spans="1:7" x14ac:dyDescent="0.25">
      <c r="A642" t="s">
        <v>138</v>
      </c>
      <c r="B642" t="s">
        <v>380</v>
      </c>
      <c r="C642" t="s">
        <v>1650</v>
      </c>
      <c r="E642">
        <v>1.822492</v>
      </c>
      <c r="F642">
        <v>-1.652048</v>
      </c>
      <c r="G642" s="154">
        <v>8.4082059999999998</v>
      </c>
    </row>
    <row r="643" spans="1:7" x14ac:dyDescent="0.25">
      <c r="A643" t="s">
        <v>138</v>
      </c>
      <c r="B643" t="s">
        <v>380</v>
      </c>
      <c r="C643" t="s">
        <v>1651</v>
      </c>
      <c r="E643">
        <v>7.2921000000000001E-3</v>
      </c>
      <c r="F643">
        <v>-3.1760130000000002</v>
      </c>
      <c r="G643" s="154">
        <v>5.290781</v>
      </c>
    </row>
    <row r="644" spans="1:7" x14ac:dyDescent="0.25">
      <c r="A644" t="s">
        <v>138</v>
      </c>
      <c r="B644" t="s">
        <v>380</v>
      </c>
      <c r="C644" t="s">
        <v>1652</v>
      </c>
      <c r="E644">
        <v>0.55583179999999999</v>
      </c>
      <c r="F644">
        <v>-2.6583290000000002</v>
      </c>
      <c r="G644" s="154">
        <v>6.3943380000000003</v>
      </c>
    </row>
    <row r="645" spans="1:7" x14ac:dyDescent="0.25">
      <c r="A645" t="s">
        <v>138</v>
      </c>
      <c r="B645" t="s">
        <v>380</v>
      </c>
      <c r="C645" t="s">
        <v>1653</v>
      </c>
      <c r="E645">
        <v>1.4056109999999999</v>
      </c>
      <c r="F645">
        <v>-1.934382</v>
      </c>
      <c r="G645" s="154">
        <v>7.3535969999999997</v>
      </c>
    </row>
    <row r="646" spans="1:7" x14ac:dyDescent="0.25">
      <c r="A646" t="s">
        <v>138</v>
      </c>
      <c r="B646" t="s">
        <v>380</v>
      </c>
      <c r="C646" t="s">
        <v>1654</v>
      </c>
      <c r="E646">
        <v>1.403092</v>
      </c>
      <c r="F646">
        <v>-1.972232</v>
      </c>
      <c r="G646" s="154">
        <v>7.3678860000000004</v>
      </c>
    </row>
    <row r="647" spans="1:7" x14ac:dyDescent="0.25">
      <c r="A647" t="s">
        <v>138</v>
      </c>
      <c r="B647" t="s">
        <v>380</v>
      </c>
      <c r="C647" t="s">
        <v>1655</v>
      </c>
      <c r="E647">
        <v>1.084317</v>
      </c>
      <c r="F647">
        <v>-2.329698</v>
      </c>
      <c r="G647" s="154">
        <v>6.555218</v>
      </c>
    </row>
    <row r="648" spans="1:7" x14ac:dyDescent="0.25">
      <c r="A648" t="s">
        <v>138</v>
      </c>
      <c r="B648" t="s">
        <v>380</v>
      </c>
      <c r="C648" t="s">
        <v>1656</v>
      </c>
      <c r="E648">
        <v>1.1943280000000001</v>
      </c>
      <c r="F648">
        <v>-2.279344</v>
      </c>
      <c r="G648" s="154">
        <v>7.5857869999999998</v>
      </c>
    </row>
    <row r="649" spans="1:7" x14ac:dyDescent="0.25">
      <c r="A649" t="s">
        <v>138</v>
      </c>
      <c r="B649" t="s">
        <v>380</v>
      </c>
      <c r="C649" t="s">
        <v>1657</v>
      </c>
      <c r="E649">
        <v>1.478429</v>
      </c>
      <c r="F649">
        <v>-1.879475</v>
      </c>
      <c r="G649" s="154">
        <v>7.8167</v>
      </c>
    </row>
    <row r="650" spans="1:7" x14ac:dyDescent="0.25">
      <c r="A650" t="s">
        <v>138</v>
      </c>
      <c r="B650" t="s">
        <v>380</v>
      </c>
      <c r="C650" t="s">
        <v>1658</v>
      </c>
      <c r="E650">
        <v>1.033855</v>
      </c>
      <c r="F650">
        <v>-2.5926650000000002</v>
      </c>
      <c r="G650" s="154">
        <v>6.8805670000000001</v>
      </c>
    </row>
    <row r="651" spans="1:7" x14ac:dyDescent="0.25">
      <c r="A651" t="s">
        <v>138</v>
      </c>
      <c r="B651" t="s">
        <v>380</v>
      </c>
      <c r="C651" t="s">
        <v>1659</v>
      </c>
      <c r="E651">
        <v>1.544022</v>
      </c>
      <c r="F651">
        <v>-1.8406180000000001</v>
      </c>
      <c r="G651" s="154">
        <v>7.692151</v>
      </c>
    </row>
    <row r="652" spans="1:7" x14ac:dyDescent="0.25">
      <c r="A652" t="s">
        <v>138</v>
      </c>
      <c r="B652" t="s">
        <v>380</v>
      </c>
      <c r="C652" t="s">
        <v>1660</v>
      </c>
      <c r="E652">
        <v>0.36166100000000001</v>
      </c>
      <c r="F652">
        <v>-2.704885</v>
      </c>
      <c r="G652" s="154">
        <v>7.1850360000000002</v>
      </c>
    </row>
    <row r="653" spans="1:7" x14ac:dyDescent="0.25">
      <c r="A653" t="s">
        <v>138</v>
      </c>
      <c r="B653" t="s">
        <v>380</v>
      </c>
      <c r="C653" t="s">
        <v>1661</v>
      </c>
      <c r="E653">
        <v>0.74980480000000005</v>
      </c>
      <c r="F653">
        <v>-2.6956150000000001</v>
      </c>
      <c r="G653" s="154">
        <v>6.1292929999999997</v>
      </c>
    </row>
    <row r="654" spans="1:7" x14ac:dyDescent="0.25">
      <c r="A654" t="s">
        <v>138</v>
      </c>
      <c r="B654" t="s">
        <v>380</v>
      </c>
      <c r="C654" t="s">
        <v>1662</v>
      </c>
      <c r="E654">
        <v>0.90670669999999998</v>
      </c>
      <c r="F654">
        <v>-2.145086</v>
      </c>
      <c r="G654" s="154">
        <v>6.4523330000000003</v>
      </c>
    </row>
    <row r="655" spans="1:7" x14ac:dyDescent="0.25">
      <c r="A655" t="s">
        <v>138</v>
      </c>
      <c r="B655" t="s">
        <v>380</v>
      </c>
      <c r="C655" t="s">
        <v>1663</v>
      </c>
      <c r="E655">
        <v>0.56625219999999998</v>
      </c>
      <c r="F655">
        <v>-2.7716229999999999</v>
      </c>
      <c r="G655" s="154">
        <v>5.9292210000000001</v>
      </c>
    </row>
    <row r="656" spans="1:7" x14ac:dyDescent="0.25">
      <c r="A656" t="s">
        <v>107</v>
      </c>
      <c r="B656" t="s">
        <v>371</v>
      </c>
      <c r="C656" t="s">
        <v>1529</v>
      </c>
      <c r="D656">
        <v>-3.4434800000000001</v>
      </c>
      <c r="E656">
        <v>2.3751549999999999</v>
      </c>
      <c r="F656">
        <v>-1.068325</v>
      </c>
      <c r="G656" s="154">
        <v>7.2061890000000002</v>
      </c>
    </row>
    <row r="657" spans="1:7" x14ac:dyDescent="0.25">
      <c r="A657" t="s">
        <v>107</v>
      </c>
      <c r="B657" t="s">
        <v>371</v>
      </c>
      <c r="C657" t="s">
        <v>1664</v>
      </c>
      <c r="D657">
        <v>-3.7236159999999998</v>
      </c>
      <c r="E657">
        <v>2.1119910000000002</v>
      </c>
      <c r="F657">
        <v>-1.6116250000000001</v>
      </c>
      <c r="G657" s="154">
        <v>6.0079859999999998</v>
      </c>
    </row>
    <row r="658" spans="1:7" x14ac:dyDescent="0.25">
      <c r="A658" t="s">
        <v>107</v>
      </c>
      <c r="B658" t="s">
        <v>371</v>
      </c>
      <c r="C658" t="s">
        <v>1665</v>
      </c>
      <c r="D658">
        <v>-3.3692139999999999</v>
      </c>
      <c r="E658">
        <v>2.161781</v>
      </c>
      <c r="F658">
        <v>-1.207433</v>
      </c>
      <c r="G658" s="154">
        <v>6.7412679999999998</v>
      </c>
    </row>
    <row r="659" spans="1:7" x14ac:dyDescent="0.25">
      <c r="A659" t="s">
        <v>107</v>
      </c>
      <c r="B659" t="s">
        <v>371</v>
      </c>
      <c r="C659" t="s">
        <v>1666</v>
      </c>
      <c r="D659">
        <v>-3.8474599999999999</v>
      </c>
      <c r="E659">
        <v>2.0025010000000001</v>
      </c>
      <c r="F659">
        <v>-1.844959</v>
      </c>
      <c r="G659" s="154">
        <v>5.9815120000000004</v>
      </c>
    </row>
    <row r="660" spans="1:7" x14ac:dyDescent="0.25">
      <c r="A660" t="s">
        <v>107</v>
      </c>
      <c r="B660" t="s">
        <v>371</v>
      </c>
      <c r="C660" t="s">
        <v>1667</v>
      </c>
      <c r="D660">
        <v>-3.0667559999999998</v>
      </c>
      <c r="E660">
        <v>2.1667360000000002</v>
      </c>
      <c r="F660">
        <v>-0.90002070000000001</v>
      </c>
      <c r="G660" s="154">
        <v>6.7779759999999998</v>
      </c>
    </row>
    <row r="661" spans="1:7" x14ac:dyDescent="0.25">
      <c r="A661" t="s">
        <v>107</v>
      </c>
      <c r="B661" t="s">
        <v>371</v>
      </c>
      <c r="C661" t="s">
        <v>1668</v>
      </c>
      <c r="D661">
        <v>-3.3488250000000002</v>
      </c>
      <c r="E661">
        <v>2.2017920000000002</v>
      </c>
      <c r="F661">
        <v>-1.1470340000000001</v>
      </c>
      <c r="G661" s="154">
        <v>5.3782370000000004</v>
      </c>
    </row>
    <row r="662" spans="1:7" x14ac:dyDescent="0.25">
      <c r="A662" t="s">
        <v>107</v>
      </c>
      <c r="B662" t="s">
        <v>371</v>
      </c>
      <c r="C662" t="s">
        <v>1669</v>
      </c>
      <c r="D662">
        <v>-3.4411520000000002</v>
      </c>
      <c r="E662">
        <v>2.074954</v>
      </c>
      <c r="F662">
        <v>-1.366198</v>
      </c>
      <c r="G662" s="154">
        <v>5.0266770000000003</v>
      </c>
    </row>
    <row r="663" spans="1:7" x14ac:dyDescent="0.25">
      <c r="A663" t="s">
        <v>107</v>
      </c>
      <c r="B663" t="s">
        <v>371</v>
      </c>
      <c r="C663" t="s">
        <v>1670</v>
      </c>
      <c r="D663">
        <v>-3.3209879999999998</v>
      </c>
      <c r="E663">
        <v>2.1168589999999998</v>
      </c>
      <c r="F663">
        <v>-1.204129</v>
      </c>
      <c r="G663" s="154">
        <v>6.8671290000000003</v>
      </c>
    </row>
    <row r="664" spans="1:7" x14ac:dyDescent="0.25">
      <c r="A664" t="s">
        <v>67</v>
      </c>
      <c r="B664" t="s">
        <v>382</v>
      </c>
      <c r="C664" t="s">
        <v>1671</v>
      </c>
      <c r="D664">
        <v>-5.210153</v>
      </c>
      <c r="E664">
        <v>2.5061640000000001</v>
      </c>
      <c r="F664">
        <v>-2.7039900000000001</v>
      </c>
      <c r="G664" s="154">
        <v>6.9619749999999998</v>
      </c>
    </row>
    <row r="665" spans="1:7" x14ac:dyDescent="0.25">
      <c r="A665" t="s">
        <v>67</v>
      </c>
      <c r="B665" t="s">
        <v>382</v>
      </c>
      <c r="C665" t="s">
        <v>1672</v>
      </c>
      <c r="D665">
        <v>-5.189171</v>
      </c>
      <c r="E665">
        <v>2.5327630000000001</v>
      </c>
      <c r="F665">
        <v>-2.6564079999999999</v>
      </c>
      <c r="G665" s="154">
        <v>6.9186180000000004</v>
      </c>
    </row>
    <row r="666" spans="1:7" x14ac:dyDescent="0.25">
      <c r="A666" t="s">
        <v>67</v>
      </c>
      <c r="B666" t="s">
        <v>382</v>
      </c>
      <c r="C666" t="s">
        <v>1673</v>
      </c>
      <c r="D666">
        <v>-5.0471349999999999</v>
      </c>
      <c r="E666">
        <v>2.4216500000000001</v>
      </c>
      <c r="F666">
        <v>-2.6254849999999998</v>
      </c>
      <c r="G666" s="154">
        <v>6.9895829999999997</v>
      </c>
    </row>
    <row r="667" spans="1:7" x14ac:dyDescent="0.25">
      <c r="A667" t="s">
        <v>67</v>
      </c>
      <c r="B667" t="s">
        <v>382</v>
      </c>
      <c r="C667" t="s">
        <v>1674</v>
      </c>
      <c r="D667">
        <v>-5.0175900000000002</v>
      </c>
      <c r="E667">
        <v>2.507565</v>
      </c>
      <c r="F667">
        <v>-2.5100250000000002</v>
      </c>
      <c r="G667" s="154">
        <v>7.4130589999999996</v>
      </c>
    </row>
    <row r="668" spans="1:7" x14ac:dyDescent="0.25">
      <c r="A668" t="s">
        <v>67</v>
      </c>
      <c r="B668" t="s">
        <v>382</v>
      </c>
      <c r="C668" t="s">
        <v>1675</v>
      </c>
      <c r="D668">
        <v>-4.8664550000000002</v>
      </c>
      <c r="E668">
        <v>2.3850760000000002</v>
      </c>
      <c r="F668">
        <v>-2.481379</v>
      </c>
      <c r="G668" s="154">
        <v>7.2398670000000003</v>
      </c>
    </row>
    <row r="669" spans="1:7" x14ac:dyDescent="0.25">
      <c r="A669" t="s">
        <v>67</v>
      </c>
      <c r="B669" t="s">
        <v>382</v>
      </c>
      <c r="C669" t="s">
        <v>1676</v>
      </c>
      <c r="D669">
        <v>-4.8244189999999998</v>
      </c>
      <c r="E669">
        <v>2.3213010000000001</v>
      </c>
      <c r="F669">
        <v>-2.5031189999999999</v>
      </c>
      <c r="G669" s="154">
        <v>7.1844580000000002</v>
      </c>
    </row>
    <row r="670" spans="1:7" x14ac:dyDescent="0.25">
      <c r="A670" t="s">
        <v>67</v>
      </c>
      <c r="B670" t="s">
        <v>382</v>
      </c>
      <c r="C670" t="s">
        <v>1677</v>
      </c>
      <c r="D670">
        <v>-5.5228539999999997</v>
      </c>
      <c r="E670">
        <v>2.6732930000000001</v>
      </c>
      <c r="F670">
        <v>-2.8495599999999999</v>
      </c>
      <c r="G670" s="154">
        <v>6.9871369999999997</v>
      </c>
    </row>
    <row r="671" spans="1:7" x14ac:dyDescent="0.25">
      <c r="A671" t="s">
        <v>67</v>
      </c>
      <c r="B671" t="s">
        <v>382</v>
      </c>
      <c r="C671" t="s">
        <v>1678</v>
      </c>
      <c r="D671">
        <v>-4.4488760000000003</v>
      </c>
      <c r="E671">
        <v>2.3882319999999999</v>
      </c>
      <c r="F671">
        <v>-2.0606439999999999</v>
      </c>
      <c r="G671" s="154">
        <v>8.915438</v>
      </c>
    </row>
    <row r="672" spans="1:7" x14ac:dyDescent="0.25">
      <c r="A672" t="s">
        <v>67</v>
      </c>
      <c r="B672" t="s">
        <v>382</v>
      </c>
      <c r="C672" t="s">
        <v>1679</v>
      </c>
      <c r="D672">
        <v>-4.7194330000000004</v>
      </c>
      <c r="E672">
        <v>2.4162699999999999</v>
      </c>
      <c r="F672">
        <v>-2.3031640000000002</v>
      </c>
      <c r="G672" s="154">
        <v>7.643205</v>
      </c>
    </row>
    <row r="673" spans="1:7" x14ac:dyDescent="0.25">
      <c r="A673" t="s">
        <v>67</v>
      </c>
      <c r="B673" t="s">
        <v>382</v>
      </c>
      <c r="C673" t="s">
        <v>1680</v>
      </c>
      <c r="D673">
        <v>-4.6545389999999998</v>
      </c>
      <c r="E673">
        <v>2.289682</v>
      </c>
      <c r="F673">
        <v>-2.3648570000000002</v>
      </c>
      <c r="G673" s="154">
        <v>7.8105880000000001</v>
      </c>
    </row>
    <row r="674" spans="1:7" x14ac:dyDescent="0.25">
      <c r="A674" t="s">
        <v>67</v>
      </c>
      <c r="B674" t="s">
        <v>382</v>
      </c>
      <c r="C674" t="s">
        <v>1681</v>
      </c>
      <c r="D674">
        <v>-4.7189290000000002</v>
      </c>
      <c r="E674">
        <v>2.2679</v>
      </c>
      <c r="F674">
        <v>-2.4510299999999998</v>
      </c>
      <c r="G674" s="154">
        <v>7.012721</v>
      </c>
    </row>
    <row r="675" spans="1:7" x14ac:dyDescent="0.25">
      <c r="A675" t="s">
        <v>67</v>
      </c>
      <c r="B675" t="s">
        <v>382</v>
      </c>
      <c r="C675" t="s">
        <v>1682</v>
      </c>
      <c r="D675">
        <v>-4.9377550000000001</v>
      </c>
      <c r="E675">
        <v>2.5005649999999999</v>
      </c>
      <c r="F675">
        <v>-2.4371900000000002</v>
      </c>
      <c r="G675" s="154">
        <v>7.0093690000000004</v>
      </c>
    </row>
    <row r="676" spans="1:7" x14ac:dyDescent="0.25">
      <c r="A676" t="s">
        <v>67</v>
      </c>
      <c r="B676" t="s">
        <v>382</v>
      </c>
      <c r="C676" t="s">
        <v>1683</v>
      </c>
      <c r="D676">
        <v>-4.5007640000000002</v>
      </c>
      <c r="E676">
        <v>2.2978290000000001</v>
      </c>
      <c r="F676">
        <v>-2.2029350000000001</v>
      </c>
      <c r="G676" s="154">
        <v>7.012721</v>
      </c>
    </row>
    <row r="677" spans="1:7" x14ac:dyDescent="0.25">
      <c r="A677" t="s">
        <v>67</v>
      </c>
      <c r="B677" t="s">
        <v>382</v>
      </c>
      <c r="C677" t="s">
        <v>1684</v>
      </c>
      <c r="D677">
        <v>-4.4253489999999998</v>
      </c>
      <c r="E677">
        <v>2.2563719999999998</v>
      </c>
      <c r="F677">
        <v>-2.1689759999999998</v>
      </c>
      <c r="G677" s="154">
        <v>7.1447010000000004</v>
      </c>
    </row>
    <row r="678" spans="1:7" x14ac:dyDescent="0.25">
      <c r="A678" t="s">
        <v>67</v>
      </c>
      <c r="B678" t="s">
        <v>382</v>
      </c>
      <c r="C678" t="s">
        <v>1685</v>
      </c>
      <c r="D678">
        <v>-4.2617750000000001</v>
      </c>
      <c r="E678">
        <v>2.2526679999999999</v>
      </c>
      <c r="F678">
        <v>-2.0091070000000002</v>
      </c>
      <c r="G678" s="154">
        <v>8.9679970000000004</v>
      </c>
    </row>
    <row r="679" spans="1:7" x14ac:dyDescent="0.25">
      <c r="A679" t="s">
        <v>67</v>
      </c>
      <c r="B679" t="s">
        <v>382</v>
      </c>
      <c r="C679" t="s">
        <v>1686</v>
      </c>
      <c r="D679">
        <v>-5.3009570000000004</v>
      </c>
      <c r="E679">
        <v>2.479444</v>
      </c>
      <c r="F679">
        <v>-2.8215129999999999</v>
      </c>
      <c r="G679" s="154">
        <v>6.658169</v>
      </c>
    </row>
    <row r="680" spans="1:7" x14ac:dyDescent="0.25">
      <c r="A680" t="s">
        <v>67</v>
      </c>
      <c r="B680" t="s">
        <v>382</v>
      </c>
      <c r="C680" t="s">
        <v>1687</v>
      </c>
      <c r="D680">
        <v>-4.3428339999999999</v>
      </c>
      <c r="E680">
        <v>2.2135060000000002</v>
      </c>
      <c r="F680">
        <v>-2.129327</v>
      </c>
      <c r="G680" s="154">
        <v>8.1536089999999994</v>
      </c>
    </row>
    <row r="681" spans="1:7" x14ac:dyDescent="0.25">
      <c r="A681" t="s">
        <v>67</v>
      </c>
      <c r="B681" t="s">
        <v>382</v>
      </c>
      <c r="C681" t="s">
        <v>1688</v>
      </c>
      <c r="D681">
        <v>-4.9821340000000003</v>
      </c>
      <c r="E681">
        <v>2.3816229999999998</v>
      </c>
      <c r="F681">
        <v>-2.600511</v>
      </c>
      <c r="G681" s="154">
        <v>6.9001739999999998</v>
      </c>
    </row>
    <row r="682" spans="1:7" x14ac:dyDescent="0.25">
      <c r="A682" t="s">
        <v>67</v>
      </c>
      <c r="B682" t="s">
        <v>382</v>
      </c>
      <c r="C682" t="s">
        <v>1689</v>
      </c>
      <c r="D682">
        <v>-4.7160500000000001</v>
      </c>
      <c r="E682">
        <v>2.4265639999999999</v>
      </c>
      <c r="F682">
        <v>-2.2894860000000001</v>
      </c>
      <c r="G682" s="154">
        <v>7.5760430000000003</v>
      </c>
    </row>
    <row r="683" spans="1:7" x14ac:dyDescent="0.25">
      <c r="A683" t="s">
        <v>67</v>
      </c>
      <c r="B683" t="s">
        <v>382</v>
      </c>
      <c r="C683" t="s">
        <v>1690</v>
      </c>
      <c r="D683">
        <v>-3.9427270000000001</v>
      </c>
      <c r="E683">
        <v>2.202261</v>
      </c>
      <c r="F683">
        <v>-1.7404660000000001</v>
      </c>
      <c r="G683" s="154">
        <v>9.5872890000000002</v>
      </c>
    </row>
    <row r="684" spans="1:7" x14ac:dyDescent="0.25">
      <c r="A684" t="s">
        <v>67</v>
      </c>
      <c r="B684" t="s">
        <v>382</v>
      </c>
      <c r="C684" t="s">
        <v>1691</v>
      </c>
      <c r="D684">
        <v>-5.0548080000000004</v>
      </c>
      <c r="E684">
        <v>2.5572729999999999</v>
      </c>
      <c r="F684">
        <v>-2.4975350000000001</v>
      </c>
      <c r="G684" s="154">
        <v>6.9812019999999997</v>
      </c>
    </row>
    <row r="685" spans="1:7" x14ac:dyDescent="0.25">
      <c r="A685" t="s">
        <v>67</v>
      </c>
      <c r="B685" t="s">
        <v>382</v>
      </c>
      <c r="C685" t="s">
        <v>1692</v>
      </c>
      <c r="D685">
        <v>-4.905259</v>
      </c>
      <c r="E685">
        <v>2.4556809999999998</v>
      </c>
      <c r="F685">
        <v>-2.4495779999999998</v>
      </c>
      <c r="G685" s="154">
        <v>7.14872</v>
      </c>
    </row>
    <row r="686" spans="1:7" x14ac:dyDescent="0.25">
      <c r="A686" t="s">
        <v>55</v>
      </c>
      <c r="B686" t="s">
        <v>385</v>
      </c>
      <c r="C686" t="s">
        <v>1693</v>
      </c>
      <c r="D686">
        <v>-7.1303960000000002</v>
      </c>
      <c r="E686">
        <v>1.5399069999999999</v>
      </c>
      <c r="F686">
        <v>-5.5904889999999998</v>
      </c>
      <c r="G686" s="154">
        <v>0.51567370000000001</v>
      </c>
    </row>
    <row r="687" spans="1:7" x14ac:dyDescent="0.25">
      <c r="A687" t="s">
        <v>55</v>
      </c>
      <c r="B687" t="s">
        <v>385</v>
      </c>
      <c r="C687" t="s">
        <v>1694</v>
      </c>
      <c r="D687">
        <v>-6.1065240000000003</v>
      </c>
      <c r="E687">
        <v>2.0884909999999999</v>
      </c>
      <c r="F687">
        <v>-4.0180319999999998</v>
      </c>
      <c r="G687" s="154">
        <v>0.6597653</v>
      </c>
    </row>
    <row r="688" spans="1:7" x14ac:dyDescent="0.25">
      <c r="A688" t="s">
        <v>55</v>
      </c>
      <c r="B688" t="s">
        <v>385</v>
      </c>
      <c r="C688" t="s">
        <v>1695</v>
      </c>
      <c r="D688">
        <v>-6.5765380000000002</v>
      </c>
      <c r="E688">
        <v>2.1288589999999998</v>
      </c>
      <c r="F688">
        <v>-4.4476779999999998</v>
      </c>
      <c r="G688" s="154">
        <v>0.84253060000000002</v>
      </c>
    </row>
    <row r="689" spans="1:7" x14ac:dyDescent="0.25">
      <c r="A689" t="s">
        <v>55</v>
      </c>
      <c r="B689" t="s">
        <v>385</v>
      </c>
      <c r="C689" t="s">
        <v>1696</v>
      </c>
      <c r="D689">
        <v>-6.576702</v>
      </c>
      <c r="E689">
        <v>1.646863</v>
      </c>
      <c r="F689">
        <v>-4.9298390000000003</v>
      </c>
      <c r="G689" s="154">
        <v>1.0747409999999999</v>
      </c>
    </row>
    <row r="690" spans="1:7" x14ac:dyDescent="0.25">
      <c r="A690" t="s">
        <v>55</v>
      </c>
      <c r="B690" t="s">
        <v>385</v>
      </c>
      <c r="C690" t="s">
        <v>1697</v>
      </c>
      <c r="D690">
        <v>-5.4099599999999999</v>
      </c>
      <c r="E690">
        <v>2.800497</v>
      </c>
      <c r="F690">
        <v>-2.609464</v>
      </c>
      <c r="G690" s="154">
        <v>2.5947819999999999</v>
      </c>
    </row>
    <row r="691" spans="1:7" x14ac:dyDescent="0.25">
      <c r="A691" t="s">
        <v>55</v>
      </c>
      <c r="B691" t="s">
        <v>385</v>
      </c>
      <c r="C691" t="s">
        <v>1698</v>
      </c>
      <c r="D691">
        <v>-7.4848489999999996</v>
      </c>
      <c r="E691">
        <v>2.0693220000000001</v>
      </c>
      <c r="F691">
        <v>-5.415527</v>
      </c>
      <c r="G691" s="154">
        <v>0.67999010000000004</v>
      </c>
    </row>
    <row r="692" spans="1:7" x14ac:dyDescent="0.25">
      <c r="A692" t="s">
        <v>55</v>
      </c>
      <c r="B692" t="s">
        <v>385</v>
      </c>
      <c r="C692" t="s">
        <v>1699</v>
      </c>
      <c r="D692">
        <v>-7.4390619999999998</v>
      </c>
      <c r="E692">
        <v>1.7895350000000001</v>
      </c>
      <c r="F692">
        <v>-5.649527</v>
      </c>
      <c r="G692" s="154">
        <v>0.69826440000000001</v>
      </c>
    </row>
    <row r="693" spans="1:7" x14ac:dyDescent="0.25">
      <c r="A693" t="s">
        <v>55</v>
      </c>
      <c r="B693" t="s">
        <v>385</v>
      </c>
      <c r="C693" t="s">
        <v>1700</v>
      </c>
      <c r="D693">
        <v>-5.7687580000000001</v>
      </c>
      <c r="E693">
        <v>1.7559959999999999</v>
      </c>
      <c r="F693">
        <v>-4.0127620000000004</v>
      </c>
      <c r="G693" s="154">
        <v>1.0755399999999999</v>
      </c>
    </row>
    <row r="694" spans="1:7" x14ac:dyDescent="0.25">
      <c r="A694" t="s">
        <v>55</v>
      </c>
      <c r="B694" t="s">
        <v>385</v>
      </c>
      <c r="C694" t="s">
        <v>1701</v>
      </c>
      <c r="D694">
        <v>-7.1249349999999998</v>
      </c>
      <c r="E694">
        <v>1.657762</v>
      </c>
      <c r="F694">
        <v>-5.4671729999999998</v>
      </c>
      <c r="G694" s="154">
        <v>0.76334610000000003</v>
      </c>
    </row>
    <row r="695" spans="1:7" x14ac:dyDescent="0.25">
      <c r="A695" t="s">
        <v>55</v>
      </c>
      <c r="B695" t="s">
        <v>385</v>
      </c>
      <c r="C695" t="s">
        <v>1702</v>
      </c>
      <c r="D695">
        <v>-8.4486749999999997</v>
      </c>
      <c r="E695">
        <v>2.812478</v>
      </c>
      <c r="F695">
        <v>-5.6361970000000001</v>
      </c>
      <c r="G695" s="154">
        <v>0.50898509999999997</v>
      </c>
    </row>
    <row r="696" spans="1:7" x14ac:dyDescent="0.25">
      <c r="A696" t="s">
        <v>128</v>
      </c>
      <c r="B696" t="s">
        <v>374</v>
      </c>
      <c r="C696" t="s">
        <v>1703</v>
      </c>
      <c r="D696">
        <v>-6.4492729999999998</v>
      </c>
      <c r="E696">
        <v>4.3078430000000001</v>
      </c>
      <c r="F696">
        <v>-2.141429</v>
      </c>
      <c r="G696" s="154">
        <v>5.958094</v>
      </c>
    </row>
    <row r="697" spans="1:7" x14ac:dyDescent="0.25">
      <c r="A697" t="s">
        <v>128</v>
      </c>
      <c r="B697" t="s">
        <v>374</v>
      </c>
      <c r="C697" t="s">
        <v>1704</v>
      </c>
      <c r="D697">
        <v>-6.7288579999999998</v>
      </c>
      <c r="E697">
        <v>3.864487</v>
      </c>
      <c r="F697">
        <v>-2.8643709999999998</v>
      </c>
      <c r="G697" s="154">
        <v>5.6221120000000004</v>
      </c>
    </row>
    <row r="698" spans="1:7" x14ac:dyDescent="0.25">
      <c r="A698" t="s">
        <v>128</v>
      </c>
      <c r="B698" t="s">
        <v>374</v>
      </c>
      <c r="C698" t="s">
        <v>1705</v>
      </c>
      <c r="D698">
        <v>-6.9801650000000004</v>
      </c>
      <c r="E698">
        <v>2.6840060000000001</v>
      </c>
      <c r="F698">
        <v>-4.2961580000000001</v>
      </c>
      <c r="G698" s="154">
        <v>5.5972549999999996</v>
      </c>
    </row>
    <row r="699" spans="1:7" x14ac:dyDescent="0.25">
      <c r="A699" t="s">
        <v>128</v>
      </c>
      <c r="B699" t="s">
        <v>374</v>
      </c>
      <c r="C699" t="s">
        <v>1706</v>
      </c>
      <c r="D699">
        <v>-6.412261</v>
      </c>
      <c r="E699">
        <v>4.2554829999999999</v>
      </c>
      <c r="F699">
        <v>-2.1567780000000001</v>
      </c>
      <c r="G699" s="154">
        <v>6.4131600000000004</v>
      </c>
    </row>
    <row r="700" spans="1:7" x14ac:dyDescent="0.25">
      <c r="A700" t="s">
        <v>128</v>
      </c>
      <c r="B700" t="s">
        <v>374</v>
      </c>
      <c r="C700" t="s">
        <v>1707</v>
      </c>
      <c r="D700">
        <v>-6.6118880000000004</v>
      </c>
      <c r="E700">
        <v>4.0729129999999998</v>
      </c>
      <c r="F700">
        <v>-2.5389750000000002</v>
      </c>
      <c r="G700" s="154">
        <v>6.0351699999999999</v>
      </c>
    </row>
    <row r="701" spans="1:7" x14ac:dyDescent="0.25">
      <c r="A701" t="s">
        <v>128</v>
      </c>
      <c r="B701" t="s">
        <v>374</v>
      </c>
      <c r="C701" t="s">
        <v>1708</v>
      </c>
      <c r="D701">
        <v>-7.1496919999999999</v>
      </c>
      <c r="E701">
        <v>3.546923</v>
      </c>
      <c r="F701">
        <v>-3.6027680000000002</v>
      </c>
      <c r="G701" s="154">
        <v>5.4772829999999999</v>
      </c>
    </row>
    <row r="702" spans="1:7" x14ac:dyDescent="0.25">
      <c r="A702" t="s">
        <v>128</v>
      </c>
      <c r="B702" t="s">
        <v>374</v>
      </c>
      <c r="C702" t="s">
        <v>1709</v>
      </c>
      <c r="D702">
        <v>-6.4348419999999997</v>
      </c>
      <c r="E702">
        <v>3.544171</v>
      </c>
      <c r="F702">
        <v>-2.8906710000000002</v>
      </c>
      <c r="G702" s="154">
        <v>5.3650500000000001</v>
      </c>
    </row>
    <row r="703" spans="1:7" x14ac:dyDescent="0.25">
      <c r="A703" t="s">
        <v>128</v>
      </c>
      <c r="B703" t="s">
        <v>374</v>
      </c>
      <c r="C703" t="s">
        <v>1710</v>
      </c>
      <c r="D703">
        <v>-6.7620389999999997</v>
      </c>
      <c r="E703">
        <v>3.0434009999999998</v>
      </c>
      <c r="F703">
        <v>-3.7186379999999999</v>
      </c>
      <c r="G703" s="154">
        <v>5.5147589999999997</v>
      </c>
    </row>
    <row r="704" spans="1:7" x14ac:dyDescent="0.25">
      <c r="A704" t="s">
        <v>128</v>
      </c>
      <c r="B704" t="s">
        <v>374</v>
      </c>
      <c r="C704" t="s">
        <v>1711</v>
      </c>
      <c r="D704">
        <v>-6.5028389999999998</v>
      </c>
      <c r="E704">
        <v>4.6020060000000003</v>
      </c>
      <c r="F704">
        <v>-1.9008320000000001</v>
      </c>
      <c r="G704" s="154">
        <v>6.6933819999999997</v>
      </c>
    </row>
    <row r="705" spans="1:7" x14ac:dyDescent="0.25">
      <c r="A705" t="s">
        <v>128</v>
      </c>
      <c r="B705" t="s">
        <v>374</v>
      </c>
      <c r="C705" t="s">
        <v>1712</v>
      </c>
      <c r="D705">
        <v>-7.7779819999999997</v>
      </c>
      <c r="E705">
        <v>3.9193030000000002</v>
      </c>
      <c r="F705">
        <v>-3.858679</v>
      </c>
      <c r="G705" s="154">
        <v>4.5653350000000001</v>
      </c>
    </row>
    <row r="706" spans="1:7" x14ac:dyDescent="0.25">
      <c r="A706" t="s">
        <v>128</v>
      </c>
      <c r="B706" t="s">
        <v>374</v>
      </c>
      <c r="C706" t="s">
        <v>1713</v>
      </c>
      <c r="D706">
        <v>-7.1551260000000001</v>
      </c>
      <c r="E706">
        <v>3.9170530000000001</v>
      </c>
      <c r="F706">
        <v>-3.2380740000000001</v>
      </c>
      <c r="G706" s="154">
        <v>4.5961550000000004</v>
      </c>
    </row>
    <row r="707" spans="1:7" x14ac:dyDescent="0.25">
      <c r="A707" t="s">
        <v>128</v>
      </c>
      <c r="B707" t="s">
        <v>374</v>
      </c>
      <c r="C707" t="s">
        <v>1714</v>
      </c>
      <c r="D707">
        <v>-7.1523820000000002</v>
      </c>
      <c r="E707">
        <v>4.7242889999999997</v>
      </c>
      <c r="F707">
        <v>-2.4280940000000002</v>
      </c>
      <c r="G707" s="154">
        <v>7.9752179999999999</v>
      </c>
    </row>
    <row r="708" spans="1:7" x14ac:dyDescent="0.25">
      <c r="A708" t="s">
        <v>128</v>
      </c>
      <c r="B708" t="s">
        <v>374</v>
      </c>
      <c r="C708" t="s">
        <v>1715</v>
      </c>
      <c r="D708">
        <v>-6.5657550000000002</v>
      </c>
      <c r="E708">
        <v>2.8182809999999998</v>
      </c>
      <c r="F708">
        <v>-3.7474729999999998</v>
      </c>
      <c r="G708" s="154">
        <v>5.9420210000000004</v>
      </c>
    </row>
    <row r="709" spans="1:7" x14ac:dyDescent="0.25">
      <c r="A709" t="s">
        <v>128</v>
      </c>
      <c r="B709" t="s">
        <v>374</v>
      </c>
      <c r="C709" t="s">
        <v>1716</v>
      </c>
      <c r="D709">
        <v>-6.4700499999999996</v>
      </c>
      <c r="E709">
        <v>3.4172760000000002</v>
      </c>
      <c r="F709">
        <v>-3.0527739999999999</v>
      </c>
      <c r="G709" s="154">
        <v>8.0773189999999992</v>
      </c>
    </row>
    <row r="710" spans="1:7" x14ac:dyDescent="0.25">
      <c r="A710" t="s">
        <v>164</v>
      </c>
      <c r="B710" t="s">
        <v>388</v>
      </c>
      <c r="C710" t="s">
        <v>1717</v>
      </c>
      <c r="D710">
        <v>-5.868493</v>
      </c>
      <c r="E710">
        <v>1.960259</v>
      </c>
      <c r="F710">
        <v>-3.1370209999999998</v>
      </c>
      <c r="G710" s="154">
        <v>10.313689999999999</v>
      </c>
    </row>
    <row r="711" spans="1:7" x14ac:dyDescent="0.25">
      <c r="A711" t="s">
        <v>164</v>
      </c>
      <c r="B711" t="s">
        <v>388</v>
      </c>
      <c r="C711" t="s">
        <v>1718</v>
      </c>
      <c r="D711">
        <v>-5.8549369999999996</v>
      </c>
      <c r="E711">
        <v>2.0496829999999999</v>
      </c>
      <c r="F711">
        <v>-3.255633</v>
      </c>
      <c r="G711" s="154">
        <v>9.5781749999999999</v>
      </c>
    </row>
    <row r="712" spans="1:7" x14ac:dyDescent="0.25">
      <c r="A712" t="s">
        <v>164</v>
      </c>
      <c r="B712" t="s">
        <v>388</v>
      </c>
      <c r="C712" t="s">
        <v>1719</v>
      </c>
      <c r="D712">
        <v>-5.5837859999999999</v>
      </c>
      <c r="E712">
        <v>1.909718</v>
      </c>
      <c r="F712">
        <v>-3.0130129999999999</v>
      </c>
      <c r="G712" s="154">
        <v>10.55003</v>
      </c>
    </row>
    <row r="713" spans="1:7" x14ac:dyDescent="0.25">
      <c r="A713" t="s">
        <v>164</v>
      </c>
      <c r="B713" t="s">
        <v>388</v>
      </c>
      <c r="C713" t="s">
        <v>1720</v>
      </c>
      <c r="D713">
        <v>-5.6689579999999999</v>
      </c>
      <c r="E713">
        <v>2.0398559999999999</v>
      </c>
      <c r="F713">
        <v>-3.0060280000000001</v>
      </c>
      <c r="G713" s="154">
        <v>10.2643</v>
      </c>
    </row>
    <row r="714" spans="1:7" x14ac:dyDescent="0.25">
      <c r="A714" t="s">
        <v>164</v>
      </c>
      <c r="B714" t="s">
        <v>388</v>
      </c>
      <c r="C714" t="s">
        <v>1721</v>
      </c>
      <c r="D714">
        <v>-5.8311640000000002</v>
      </c>
      <c r="E714">
        <v>2.0965029999999998</v>
      </c>
      <c r="F714">
        <v>-3.174417</v>
      </c>
      <c r="G714" s="154">
        <v>10.914210000000001</v>
      </c>
    </row>
    <row r="715" spans="1:7" x14ac:dyDescent="0.25">
      <c r="A715" t="s">
        <v>164</v>
      </c>
      <c r="B715" t="s">
        <v>388</v>
      </c>
      <c r="C715" t="s">
        <v>1722</v>
      </c>
      <c r="D715">
        <v>-5.7723500000000003</v>
      </c>
      <c r="E715">
        <v>2.127904</v>
      </c>
      <c r="F715">
        <v>-2.8837670000000002</v>
      </c>
      <c r="G715" s="154">
        <v>9.9025920000000003</v>
      </c>
    </row>
    <row r="716" spans="1:7" x14ac:dyDescent="0.25">
      <c r="A716" t="s">
        <v>164</v>
      </c>
      <c r="B716" t="s">
        <v>388</v>
      </c>
      <c r="C716" t="s">
        <v>1723</v>
      </c>
      <c r="D716">
        <v>-5.5351020000000002</v>
      </c>
      <c r="E716">
        <v>2.1547990000000001</v>
      </c>
      <c r="F716">
        <v>-2.60216</v>
      </c>
      <c r="G716" s="154">
        <v>9.8531420000000001</v>
      </c>
    </row>
    <row r="717" spans="1:7" x14ac:dyDescent="0.25">
      <c r="A717" t="s">
        <v>164</v>
      </c>
      <c r="B717" t="s">
        <v>388</v>
      </c>
      <c r="C717" t="s">
        <v>1724</v>
      </c>
      <c r="D717">
        <v>-5.7619179999999997</v>
      </c>
      <c r="E717">
        <v>2.0521199999999999</v>
      </c>
      <c r="F717">
        <v>-3.2708699999999999</v>
      </c>
      <c r="G717" s="154">
        <v>11.79326</v>
      </c>
    </row>
    <row r="718" spans="1:7" x14ac:dyDescent="0.25">
      <c r="A718" t="s">
        <v>164</v>
      </c>
      <c r="B718" t="s">
        <v>388</v>
      </c>
      <c r="C718" t="s">
        <v>1725</v>
      </c>
      <c r="D718">
        <v>-5.7099659999999997</v>
      </c>
      <c r="E718">
        <v>2.224504</v>
      </c>
      <c r="F718">
        <v>-2.7690039999999998</v>
      </c>
      <c r="G718" s="154">
        <v>10.093970000000001</v>
      </c>
    </row>
    <row r="719" spans="1:7" x14ac:dyDescent="0.25">
      <c r="A719" t="s">
        <v>164</v>
      </c>
      <c r="B719" t="s">
        <v>388</v>
      </c>
      <c r="C719" t="s">
        <v>1726</v>
      </c>
      <c r="D719">
        <v>-5.8867209999999996</v>
      </c>
      <c r="E719">
        <v>2.1342850000000002</v>
      </c>
      <c r="F719">
        <v>-3.351232</v>
      </c>
      <c r="G719" s="154">
        <v>10.80752</v>
      </c>
    </row>
    <row r="720" spans="1:7" x14ac:dyDescent="0.25">
      <c r="A720" t="s">
        <v>164</v>
      </c>
      <c r="B720" t="s">
        <v>388</v>
      </c>
      <c r="C720" t="s">
        <v>1727</v>
      </c>
      <c r="D720">
        <v>-5.8280830000000003</v>
      </c>
      <c r="E720">
        <v>1.975373</v>
      </c>
      <c r="F720">
        <v>-2.9640469999999999</v>
      </c>
      <c r="G720" s="154">
        <v>10.326409999999999</v>
      </c>
    </row>
    <row r="721" spans="1:7" x14ac:dyDescent="0.25">
      <c r="A721" t="s">
        <v>164</v>
      </c>
      <c r="B721" t="s">
        <v>388</v>
      </c>
      <c r="C721" t="s">
        <v>1728</v>
      </c>
      <c r="D721">
        <v>-5.9814980000000002</v>
      </c>
      <c r="E721">
        <v>2.101362</v>
      </c>
      <c r="F721">
        <v>-3.3754810000000002</v>
      </c>
      <c r="G721" s="154">
        <v>10.302339999999999</v>
      </c>
    </row>
    <row r="722" spans="1:7" x14ac:dyDescent="0.25">
      <c r="A722" t="s">
        <v>175</v>
      </c>
      <c r="B722" t="s">
        <v>393</v>
      </c>
      <c r="C722" t="s">
        <v>1729</v>
      </c>
      <c r="D722">
        <v>-2.3391259999999998</v>
      </c>
      <c r="E722">
        <v>1.601909</v>
      </c>
      <c r="F722">
        <v>-0.73721650000000005</v>
      </c>
      <c r="G722" s="154">
        <v>12.550380000000001</v>
      </c>
    </row>
    <row r="723" spans="1:7" x14ac:dyDescent="0.25">
      <c r="A723" t="s">
        <v>175</v>
      </c>
      <c r="B723" t="s">
        <v>393</v>
      </c>
      <c r="C723" t="s">
        <v>1730</v>
      </c>
      <c r="D723">
        <v>-2.295696</v>
      </c>
      <c r="E723">
        <v>1.5465310000000001</v>
      </c>
      <c r="F723">
        <v>-0.74916419999999995</v>
      </c>
      <c r="G723" s="154">
        <v>12.051259999999999</v>
      </c>
    </row>
    <row r="724" spans="1:7" x14ac:dyDescent="0.25">
      <c r="A724" t="s">
        <v>175</v>
      </c>
      <c r="B724" t="s">
        <v>393</v>
      </c>
      <c r="C724" t="s">
        <v>1731</v>
      </c>
      <c r="D724">
        <v>-2.1960350000000002</v>
      </c>
      <c r="E724">
        <v>1.507377</v>
      </c>
      <c r="F724">
        <v>-0.68865790000000005</v>
      </c>
      <c r="G724" s="154">
        <v>11.890370000000001</v>
      </c>
    </row>
    <row r="725" spans="1:7" x14ac:dyDescent="0.25">
      <c r="A725" t="s">
        <v>175</v>
      </c>
      <c r="B725" t="s">
        <v>393</v>
      </c>
      <c r="C725" t="s">
        <v>1732</v>
      </c>
      <c r="D725">
        <v>-2.2340499999999999</v>
      </c>
      <c r="E725">
        <v>1.5550390000000001</v>
      </c>
      <c r="F725">
        <v>-0.67901129999999998</v>
      </c>
      <c r="G725" s="154">
        <v>11.43867</v>
      </c>
    </row>
    <row r="726" spans="1:7" x14ac:dyDescent="0.25">
      <c r="A726" t="s">
        <v>175</v>
      </c>
      <c r="B726" t="s">
        <v>393</v>
      </c>
      <c r="C726" t="s">
        <v>1733</v>
      </c>
      <c r="D726">
        <v>-2.2311540000000001</v>
      </c>
      <c r="E726">
        <v>1.451038</v>
      </c>
      <c r="F726">
        <v>-0.78011549999999996</v>
      </c>
      <c r="G726" s="154">
        <v>11.45153</v>
      </c>
    </row>
    <row r="727" spans="1:7" x14ac:dyDescent="0.25">
      <c r="A727" t="s">
        <v>175</v>
      </c>
      <c r="B727" t="s">
        <v>393</v>
      </c>
      <c r="C727" t="s">
        <v>1734</v>
      </c>
      <c r="D727">
        <v>-2.3957480000000002</v>
      </c>
      <c r="E727">
        <v>1.7263949999999999</v>
      </c>
      <c r="F727">
        <v>-0.66935359999999999</v>
      </c>
      <c r="G727" s="154">
        <v>12.27819</v>
      </c>
    </row>
    <row r="728" spans="1:7" x14ac:dyDescent="0.25">
      <c r="A728" t="s">
        <v>175</v>
      </c>
      <c r="B728" t="s">
        <v>393</v>
      </c>
      <c r="C728" t="s">
        <v>1735</v>
      </c>
      <c r="D728">
        <v>-2.2902089999999999</v>
      </c>
      <c r="E728">
        <v>1.6232759999999999</v>
      </c>
      <c r="F728">
        <v>-0.66693329999999995</v>
      </c>
      <c r="G728" s="154">
        <v>11.823370000000001</v>
      </c>
    </row>
    <row r="729" spans="1:7" x14ac:dyDescent="0.25">
      <c r="A729" t="s">
        <v>175</v>
      </c>
      <c r="B729" t="s">
        <v>393</v>
      </c>
      <c r="C729" t="s">
        <v>1736</v>
      </c>
      <c r="D729">
        <v>-2.1658590000000002</v>
      </c>
      <c r="E729">
        <v>1.407443</v>
      </c>
      <c r="F729">
        <v>-0.75841639999999999</v>
      </c>
      <c r="G729" s="154">
        <v>11.875299999999999</v>
      </c>
    </row>
    <row r="730" spans="1:7" x14ac:dyDescent="0.25">
      <c r="A730" t="s">
        <v>175</v>
      </c>
      <c r="B730" t="s">
        <v>393</v>
      </c>
      <c r="C730" t="s">
        <v>1737</v>
      </c>
      <c r="D730">
        <v>-2.342438</v>
      </c>
      <c r="E730">
        <v>1.5892580000000001</v>
      </c>
      <c r="F730">
        <v>-0.75318039999999997</v>
      </c>
      <c r="G730" s="154">
        <v>11.498749999999999</v>
      </c>
    </row>
    <row r="731" spans="1:7" x14ac:dyDescent="0.25">
      <c r="A731" t="s">
        <v>175</v>
      </c>
      <c r="B731" t="s">
        <v>393</v>
      </c>
      <c r="C731" t="s">
        <v>1738</v>
      </c>
      <c r="D731">
        <v>-2.1046490000000002</v>
      </c>
      <c r="E731">
        <v>1.3522209999999999</v>
      </c>
      <c r="F731">
        <v>-0.75242810000000004</v>
      </c>
      <c r="G731" s="154">
        <v>11.66559</v>
      </c>
    </row>
    <row r="732" spans="1:7" x14ac:dyDescent="0.25">
      <c r="A732" t="s">
        <v>175</v>
      </c>
      <c r="B732" t="s">
        <v>393</v>
      </c>
      <c r="C732" t="s">
        <v>1739</v>
      </c>
      <c r="D732">
        <v>-2.0723950000000002</v>
      </c>
      <c r="E732">
        <v>1.742839</v>
      </c>
      <c r="F732">
        <v>-0.32955630000000002</v>
      </c>
      <c r="G732" s="154">
        <v>13.209619999999999</v>
      </c>
    </row>
    <row r="733" spans="1:7" x14ac:dyDescent="0.25">
      <c r="A733" t="s">
        <v>175</v>
      </c>
      <c r="B733" t="s">
        <v>393</v>
      </c>
      <c r="C733" t="s">
        <v>1740</v>
      </c>
      <c r="D733">
        <v>-2.3174779999999999</v>
      </c>
      <c r="E733">
        <v>1.5602799999999999</v>
      </c>
      <c r="F733">
        <v>-0.75719800000000004</v>
      </c>
      <c r="G733" s="154">
        <v>11.608140000000001</v>
      </c>
    </row>
    <row r="734" spans="1:7" x14ac:dyDescent="0.25">
      <c r="A734" t="s">
        <v>175</v>
      </c>
      <c r="B734" t="s">
        <v>393</v>
      </c>
      <c r="C734" t="s">
        <v>1741</v>
      </c>
      <c r="D734">
        <v>-2.3360910000000001</v>
      </c>
      <c r="E734">
        <v>1.741797</v>
      </c>
      <c r="F734">
        <v>-0.59429449999999995</v>
      </c>
      <c r="G734" s="154">
        <v>12.1373</v>
      </c>
    </row>
    <row r="735" spans="1:7" x14ac:dyDescent="0.25">
      <c r="A735" t="s">
        <v>175</v>
      </c>
      <c r="B735" t="s">
        <v>393</v>
      </c>
      <c r="C735" t="s">
        <v>1742</v>
      </c>
      <c r="D735">
        <v>-2.0666159999999998</v>
      </c>
      <c r="E735">
        <v>1.394855</v>
      </c>
      <c r="F735">
        <v>-0.67176040000000004</v>
      </c>
      <c r="G735" s="154">
        <v>12.00285</v>
      </c>
    </row>
    <row r="736" spans="1:7" x14ac:dyDescent="0.25">
      <c r="A736" t="s">
        <v>175</v>
      </c>
      <c r="B736" t="s">
        <v>393</v>
      </c>
      <c r="C736" t="s">
        <v>1743</v>
      </c>
      <c r="D736">
        <v>-2.312535</v>
      </c>
      <c r="E736">
        <v>1.6732720000000001</v>
      </c>
      <c r="F736">
        <v>-0.63926309999999997</v>
      </c>
      <c r="G736" s="154">
        <v>12.30045</v>
      </c>
    </row>
    <row r="737" spans="1:7" x14ac:dyDescent="0.25">
      <c r="A737" t="s">
        <v>175</v>
      </c>
      <c r="B737" t="s">
        <v>393</v>
      </c>
      <c r="C737" t="s">
        <v>1744</v>
      </c>
      <c r="D737">
        <v>-2.308659</v>
      </c>
      <c r="E737">
        <v>1.5771500000000001</v>
      </c>
      <c r="F737">
        <v>-0.73150959999999998</v>
      </c>
      <c r="G737" s="154">
        <v>11.759779999999999</v>
      </c>
    </row>
    <row r="738" spans="1:7" x14ac:dyDescent="0.25">
      <c r="A738" t="s">
        <v>175</v>
      </c>
      <c r="B738" t="s">
        <v>393</v>
      </c>
      <c r="C738" t="s">
        <v>1745</v>
      </c>
      <c r="D738">
        <v>-2.3506010000000002</v>
      </c>
      <c r="E738">
        <v>1.640717</v>
      </c>
      <c r="F738">
        <v>-0.70988390000000001</v>
      </c>
      <c r="G738" s="154">
        <v>11.861359999999999</v>
      </c>
    </row>
    <row r="739" spans="1:7" x14ac:dyDescent="0.25">
      <c r="A739" t="s">
        <v>175</v>
      </c>
      <c r="B739" t="s">
        <v>393</v>
      </c>
      <c r="C739" t="s">
        <v>1746</v>
      </c>
      <c r="D739">
        <v>-2.262502</v>
      </c>
      <c r="E739">
        <v>1.6369640000000001</v>
      </c>
      <c r="F739">
        <v>-0.62553859999999994</v>
      </c>
      <c r="G739" s="154">
        <v>12.15249</v>
      </c>
    </row>
    <row r="740" spans="1:7" x14ac:dyDescent="0.25">
      <c r="A740" t="s">
        <v>175</v>
      </c>
      <c r="B740" t="s">
        <v>393</v>
      </c>
      <c r="C740" t="s">
        <v>1747</v>
      </c>
      <c r="D740">
        <v>-2.277984</v>
      </c>
      <c r="E740">
        <v>1.5429820000000001</v>
      </c>
      <c r="F740">
        <v>-0.7350023</v>
      </c>
      <c r="G740" s="154">
        <v>12.07095</v>
      </c>
    </row>
    <row r="741" spans="1:7" x14ac:dyDescent="0.25">
      <c r="A741" t="s">
        <v>54</v>
      </c>
      <c r="B741" t="s">
        <v>387</v>
      </c>
      <c r="C741" t="s">
        <v>1371</v>
      </c>
      <c r="D741">
        <v>-8.6815809999999995</v>
      </c>
      <c r="E741">
        <v>3.9179270000000002</v>
      </c>
      <c r="F741">
        <v>-4.7636539999999998</v>
      </c>
      <c r="G741" s="154">
        <v>3.0014889999999999</v>
      </c>
    </row>
    <row r="742" spans="1:7" x14ac:dyDescent="0.25">
      <c r="A742" t="s">
        <v>54</v>
      </c>
      <c r="B742" t="s">
        <v>387</v>
      </c>
      <c r="C742" t="s">
        <v>1347</v>
      </c>
      <c r="D742">
        <v>-8.9238859999999995</v>
      </c>
      <c r="E742">
        <v>4.1800439999999996</v>
      </c>
      <c r="F742">
        <v>-4.743843</v>
      </c>
      <c r="G742" s="154">
        <v>2.689422</v>
      </c>
    </row>
    <row r="743" spans="1:7" x14ac:dyDescent="0.25">
      <c r="A743" t="s">
        <v>54</v>
      </c>
      <c r="B743" t="s">
        <v>387</v>
      </c>
      <c r="C743" t="s">
        <v>1748</v>
      </c>
      <c r="D743">
        <v>-9.4405260000000002</v>
      </c>
      <c r="E743">
        <v>3.4104939999999999</v>
      </c>
      <c r="F743">
        <v>-6.0300320000000003</v>
      </c>
      <c r="G743" s="154">
        <v>2.301758</v>
      </c>
    </row>
    <row r="744" spans="1:7" x14ac:dyDescent="0.25">
      <c r="A744" t="s">
        <v>54</v>
      </c>
      <c r="B744" t="s">
        <v>387</v>
      </c>
      <c r="C744" t="s">
        <v>1749</v>
      </c>
      <c r="D744">
        <v>-9.8276380000000003</v>
      </c>
      <c r="E744">
        <v>3.2695690000000002</v>
      </c>
      <c r="F744">
        <v>-6.5580679999999996</v>
      </c>
      <c r="G744" s="154">
        <v>2.5062880000000001</v>
      </c>
    </row>
    <row r="745" spans="1:7" x14ac:dyDescent="0.25">
      <c r="A745" t="s">
        <v>54</v>
      </c>
      <c r="B745" t="s">
        <v>387</v>
      </c>
      <c r="C745" t="s">
        <v>1377</v>
      </c>
      <c r="D745">
        <v>-9.0626949999999997</v>
      </c>
      <c r="E745">
        <v>3.6515919999999999</v>
      </c>
      <c r="F745">
        <v>-5.4111029999999998</v>
      </c>
      <c r="G745" s="154">
        <v>2.806794</v>
      </c>
    </row>
    <row r="746" spans="1:7" x14ac:dyDescent="0.25">
      <c r="A746" t="s">
        <v>150</v>
      </c>
      <c r="B746" t="s">
        <v>390</v>
      </c>
      <c r="C746" t="s">
        <v>1750</v>
      </c>
      <c r="D746">
        <v>-2.5008210000000002</v>
      </c>
      <c r="E746">
        <v>1.5473509999999999</v>
      </c>
      <c r="F746">
        <v>-0.95347020000000005</v>
      </c>
      <c r="G746" s="154">
        <v>10.22466</v>
      </c>
    </row>
    <row r="747" spans="1:7" x14ac:dyDescent="0.25">
      <c r="A747" t="s">
        <v>150</v>
      </c>
      <c r="B747" t="s">
        <v>390</v>
      </c>
      <c r="C747" t="s">
        <v>1751</v>
      </c>
      <c r="D747">
        <v>-2.6336870000000001</v>
      </c>
      <c r="E747">
        <v>1.4571289999999999</v>
      </c>
      <c r="F747">
        <v>-1.176558</v>
      </c>
      <c r="G747" s="154">
        <v>8.9918420000000001</v>
      </c>
    </row>
    <row r="748" spans="1:7" x14ac:dyDescent="0.25">
      <c r="A748" t="s">
        <v>150</v>
      </c>
      <c r="B748" t="s">
        <v>390</v>
      </c>
      <c r="C748" t="s">
        <v>1752</v>
      </c>
      <c r="D748">
        <v>-2.6681720000000002</v>
      </c>
      <c r="E748">
        <v>1.6334439999999999</v>
      </c>
      <c r="F748">
        <v>-1.0347280000000001</v>
      </c>
      <c r="G748" s="154">
        <v>9.4825350000000004</v>
      </c>
    </row>
    <row r="749" spans="1:7" x14ac:dyDescent="0.25">
      <c r="A749" t="s">
        <v>150</v>
      </c>
      <c r="B749" t="s">
        <v>390</v>
      </c>
      <c r="C749" t="s">
        <v>1753</v>
      </c>
      <c r="D749">
        <v>-2.811849</v>
      </c>
      <c r="E749">
        <v>1.5630550000000001</v>
      </c>
      <c r="F749">
        <v>-1.248794</v>
      </c>
      <c r="G749" s="154">
        <v>8.6309760000000004</v>
      </c>
    </row>
    <row r="750" spans="1:7" x14ac:dyDescent="0.25">
      <c r="A750" t="s">
        <v>150</v>
      </c>
      <c r="B750" t="s">
        <v>390</v>
      </c>
      <c r="C750" t="s">
        <v>1754</v>
      </c>
      <c r="D750">
        <v>-2.698639</v>
      </c>
      <c r="E750">
        <v>1.571526</v>
      </c>
      <c r="F750">
        <v>-1.127113</v>
      </c>
      <c r="G750" s="154">
        <v>8.8408350000000002</v>
      </c>
    </row>
    <row r="751" spans="1:7" x14ac:dyDescent="0.25">
      <c r="A751" t="s">
        <v>150</v>
      </c>
      <c r="B751" t="s">
        <v>390</v>
      </c>
      <c r="C751" t="s">
        <v>1755</v>
      </c>
      <c r="D751">
        <v>-2.7249509999999999</v>
      </c>
      <c r="E751">
        <v>1.587229</v>
      </c>
      <c r="F751">
        <v>-1.1377219999999999</v>
      </c>
      <c r="G751" s="154">
        <v>9.1193899999999992</v>
      </c>
    </row>
    <row r="752" spans="1:7" x14ac:dyDescent="0.25">
      <c r="A752" t="s">
        <v>150</v>
      </c>
      <c r="B752" t="s">
        <v>390</v>
      </c>
      <c r="C752" t="s">
        <v>1756</v>
      </c>
      <c r="D752">
        <v>-2.658013</v>
      </c>
      <c r="E752">
        <v>1.3381339999999999</v>
      </c>
      <c r="F752">
        <v>-1.3198799999999999</v>
      </c>
      <c r="G752" s="154">
        <v>8.7502759999999995</v>
      </c>
    </row>
    <row r="753" spans="1:7" x14ac:dyDescent="0.25">
      <c r="A753" t="s">
        <v>150</v>
      </c>
      <c r="B753" t="s">
        <v>390</v>
      </c>
      <c r="C753" t="s">
        <v>1757</v>
      </c>
      <c r="D753">
        <v>-2.6397529999999998</v>
      </c>
      <c r="E753">
        <v>1.5879840000000001</v>
      </c>
      <c r="F753">
        <v>-1.051769</v>
      </c>
      <c r="G753" s="154">
        <v>9.7828470000000003</v>
      </c>
    </row>
    <row r="754" spans="1:7" x14ac:dyDescent="0.25">
      <c r="A754" t="s">
        <v>150</v>
      </c>
      <c r="B754" t="s">
        <v>390</v>
      </c>
      <c r="C754" t="s">
        <v>1758</v>
      </c>
      <c r="D754">
        <v>-2.6377470000000001</v>
      </c>
      <c r="E754">
        <v>1.6066290000000001</v>
      </c>
      <c r="F754">
        <v>-1.0311170000000001</v>
      </c>
      <c r="G754" s="154">
        <v>8.4673719999999992</v>
      </c>
    </row>
    <row r="755" spans="1:7" x14ac:dyDescent="0.25">
      <c r="A755" t="s">
        <v>150</v>
      </c>
      <c r="B755" t="s">
        <v>390</v>
      </c>
      <c r="C755" t="s">
        <v>1759</v>
      </c>
      <c r="D755">
        <v>-2.7003110000000001</v>
      </c>
      <c r="E755">
        <v>1.5525709999999999</v>
      </c>
      <c r="F755">
        <v>-1.14774</v>
      </c>
      <c r="G755" s="154">
        <v>8.7406450000000007</v>
      </c>
    </row>
    <row r="756" spans="1:7" x14ac:dyDescent="0.25">
      <c r="A756" t="s">
        <v>150</v>
      </c>
      <c r="B756" t="s">
        <v>390</v>
      </c>
      <c r="C756" t="s">
        <v>1760</v>
      </c>
      <c r="D756">
        <v>-2.6624400000000001</v>
      </c>
      <c r="E756">
        <v>1.4842329999999999</v>
      </c>
      <c r="F756">
        <v>-1.1782060000000001</v>
      </c>
      <c r="G756" s="154">
        <v>9.1508800000000008</v>
      </c>
    </row>
    <row r="757" spans="1:7" x14ac:dyDescent="0.25">
      <c r="A757" t="s">
        <v>150</v>
      </c>
      <c r="B757" t="s">
        <v>390</v>
      </c>
      <c r="C757" t="s">
        <v>1761</v>
      </c>
      <c r="D757">
        <v>-2.5258310000000002</v>
      </c>
      <c r="E757">
        <v>1.6450720000000001</v>
      </c>
      <c r="F757">
        <v>-0.88075970000000003</v>
      </c>
      <c r="G757" s="154">
        <v>10.454319999999999</v>
      </c>
    </row>
    <row r="758" spans="1:7" x14ac:dyDescent="0.25">
      <c r="A758" t="s">
        <v>150</v>
      </c>
      <c r="B758" t="s">
        <v>390</v>
      </c>
      <c r="C758" t="s">
        <v>1762</v>
      </c>
      <c r="D758">
        <v>-2.6064660000000002</v>
      </c>
      <c r="E758">
        <v>1.481681</v>
      </c>
      <c r="F758">
        <v>-1.1247860000000001</v>
      </c>
      <c r="G758" s="154">
        <v>8.39344</v>
      </c>
    </row>
    <row r="759" spans="1:7" x14ac:dyDescent="0.25">
      <c r="A759" t="s">
        <v>74</v>
      </c>
      <c r="B759" t="s">
        <v>395</v>
      </c>
      <c r="C759" t="s">
        <v>1763</v>
      </c>
      <c r="E759">
        <v>1.1993339999999999</v>
      </c>
      <c r="F759">
        <v>-3.615189</v>
      </c>
      <c r="G759" s="154">
        <v>1.8177970000000001</v>
      </c>
    </row>
    <row r="760" spans="1:7" x14ac:dyDescent="0.25">
      <c r="A760" t="s">
        <v>74</v>
      </c>
      <c r="B760" t="s">
        <v>395</v>
      </c>
      <c r="C760" t="s">
        <v>1764</v>
      </c>
      <c r="E760">
        <v>1.3016380000000001</v>
      </c>
      <c r="F760">
        <v>-2.6413790000000001</v>
      </c>
      <c r="G760" s="154">
        <v>1.9473849999999999</v>
      </c>
    </row>
    <row r="761" spans="1:7" x14ac:dyDescent="0.25">
      <c r="A761" t="s">
        <v>74</v>
      </c>
      <c r="B761" t="s">
        <v>395</v>
      </c>
      <c r="C761" t="s">
        <v>1442</v>
      </c>
      <c r="E761">
        <v>1.2528760000000001</v>
      </c>
      <c r="F761">
        <v>-2.5616319999999999</v>
      </c>
      <c r="G761" s="154">
        <v>2.5030429999999999</v>
      </c>
    </row>
    <row r="762" spans="1:7" x14ac:dyDescent="0.25">
      <c r="A762" t="s">
        <v>74</v>
      </c>
      <c r="B762" t="s">
        <v>395</v>
      </c>
      <c r="C762" t="s">
        <v>1765</v>
      </c>
      <c r="E762">
        <v>1.285604</v>
      </c>
      <c r="F762">
        <v>-2.9502169999999999</v>
      </c>
      <c r="G762" s="154">
        <v>2.8359610000000002</v>
      </c>
    </row>
    <row r="763" spans="1:7" x14ac:dyDescent="0.25">
      <c r="A763" t="s">
        <v>127</v>
      </c>
      <c r="B763" t="s">
        <v>396</v>
      </c>
      <c r="C763" t="s">
        <v>1766</v>
      </c>
      <c r="D763">
        <v>-4.2563009999999997</v>
      </c>
      <c r="E763">
        <v>1.605958</v>
      </c>
      <c r="F763">
        <v>-2.6503429999999999</v>
      </c>
      <c r="G763" s="154">
        <v>4.9736729999999998</v>
      </c>
    </row>
    <row r="764" spans="1:7" x14ac:dyDescent="0.25">
      <c r="A764" t="s">
        <v>127</v>
      </c>
      <c r="B764" t="s">
        <v>396</v>
      </c>
      <c r="C764" t="s">
        <v>1767</v>
      </c>
      <c r="D764">
        <v>-3.8351820000000001</v>
      </c>
      <c r="E764">
        <v>1.129543</v>
      </c>
      <c r="F764">
        <v>-2.7056390000000001</v>
      </c>
      <c r="G764" s="154">
        <v>6.8287719999999998</v>
      </c>
    </row>
    <row r="765" spans="1:7" x14ac:dyDescent="0.25">
      <c r="A765" t="s">
        <v>127</v>
      </c>
      <c r="B765" t="s">
        <v>396</v>
      </c>
      <c r="C765" t="s">
        <v>1768</v>
      </c>
      <c r="D765">
        <v>-4.5398199999999997</v>
      </c>
      <c r="E765">
        <v>1.3033710000000001</v>
      </c>
      <c r="F765">
        <v>-3.2364489999999999</v>
      </c>
      <c r="G765" s="154">
        <v>6.2376620000000003</v>
      </c>
    </row>
    <row r="766" spans="1:7" x14ac:dyDescent="0.25">
      <c r="A766" t="s">
        <v>127</v>
      </c>
      <c r="B766" t="s">
        <v>396</v>
      </c>
      <c r="C766" t="s">
        <v>1769</v>
      </c>
      <c r="D766">
        <v>-4.1978809999999998</v>
      </c>
      <c r="E766">
        <v>1.9455</v>
      </c>
      <c r="F766">
        <v>-2.2523819999999999</v>
      </c>
      <c r="G766" s="154">
        <v>7.8389499999999996</v>
      </c>
    </row>
    <row r="767" spans="1:7" x14ac:dyDescent="0.25">
      <c r="A767" t="s">
        <v>127</v>
      </c>
      <c r="B767" t="s">
        <v>396</v>
      </c>
      <c r="C767" t="s">
        <v>1770</v>
      </c>
      <c r="D767">
        <v>-3.89181</v>
      </c>
      <c r="E767">
        <v>-0.28362969999999998</v>
      </c>
      <c r="F767">
        <v>-4.17544</v>
      </c>
      <c r="G767" s="154">
        <v>3.624708</v>
      </c>
    </row>
    <row r="768" spans="1:7" x14ac:dyDescent="0.25">
      <c r="A768" t="s">
        <v>127</v>
      </c>
      <c r="B768" t="s">
        <v>396</v>
      </c>
      <c r="C768" t="s">
        <v>1771</v>
      </c>
      <c r="D768">
        <v>-3.869494</v>
      </c>
      <c r="E768">
        <v>0.92530140000000005</v>
      </c>
      <c r="F768">
        <v>-2.9441929999999998</v>
      </c>
      <c r="G768" s="154">
        <v>6.4277709999999999</v>
      </c>
    </row>
    <row r="769" spans="1:7" x14ac:dyDescent="0.25">
      <c r="A769" t="s">
        <v>127</v>
      </c>
      <c r="B769" t="s">
        <v>396</v>
      </c>
      <c r="C769" t="s">
        <v>1772</v>
      </c>
      <c r="D769">
        <v>-3.7955429999999999</v>
      </c>
      <c r="E769">
        <v>0.50581810000000005</v>
      </c>
      <c r="F769">
        <v>-3.2897249999999998</v>
      </c>
      <c r="G769" s="154">
        <v>6.1795400000000003</v>
      </c>
    </row>
    <row r="770" spans="1:7" x14ac:dyDescent="0.25">
      <c r="A770" t="s">
        <v>127</v>
      </c>
      <c r="B770" t="s">
        <v>396</v>
      </c>
      <c r="C770" t="s">
        <v>1773</v>
      </c>
      <c r="D770">
        <v>-4.1227299999999998</v>
      </c>
      <c r="E770">
        <v>2.291442</v>
      </c>
      <c r="F770">
        <v>-1.831288</v>
      </c>
      <c r="G770" s="154">
        <v>8.7324699999999993</v>
      </c>
    </row>
    <row r="771" spans="1:7" x14ac:dyDescent="0.25">
      <c r="A771" t="s">
        <v>127</v>
      </c>
      <c r="B771" t="s">
        <v>396</v>
      </c>
      <c r="C771" t="s">
        <v>1774</v>
      </c>
      <c r="D771">
        <v>-4.1582369999999997</v>
      </c>
      <c r="E771">
        <v>0.90159089999999997</v>
      </c>
      <c r="F771">
        <v>-3.2566449999999998</v>
      </c>
      <c r="G771" s="154">
        <v>5.7179450000000003</v>
      </c>
    </row>
    <row r="772" spans="1:7" x14ac:dyDescent="0.25">
      <c r="A772" t="s">
        <v>116</v>
      </c>
      <c r="B772" t="s">
        <v>398</v>
      </c>
      <c r="C772" t="s">
        <v>1124</v>
      </c>
      <c r="D772">
        <v>-4.9141209999999997</v>
      </c>
      <c r="E772">
        <v>0.30776720000000002</v>
      </c>
      <c r="F772">
        <v>-4.9141209999999997</v>
      </c>
      <c r="G772" s="154">
        <v>4.1694659999999999</v>
      </c>
    </row>
    <row r="773" spans="1:7" x14ac:dyDescent="0.25">
      <c r="A773" t="s">
        <v>116</v>
      </c>
      <c r="B773" t="s">
        <v>398</v>
      </c>
      <c r="C773" t="s">
        <v>1775</v>
      </c>
      <c r="D773">
        <v>-4.8517729999999997</v>
      </c>
      <c r="E773">
        <v>1.0399959999999999</v>
      </c>
      <c r="F773">
        <v>-4.8517729999999997</v>
      </c>
      <c r="G773" s="154">
        <v>4.9365230000000002</v>
      </c>
    </row>
    <row r="774" spans="1:7" x14ac:dyDescent="0.25">
      <c r="A774" t="s">
        <v>116</v>
      </c>
      <c r="B774" t="s">
        <v>398</v>
      </c>
      <c r="C774" t="s">
        <v>1776</v>
      </c>
      <c r="D774">
        <v>-5.3197270000000003</v>
      </c>
      <c r="E774">
        <v>0.35810320000000001</v>
      </c>
      <c r="F774">
        <v>-5.3197270000000003</v>
      </c>
      <c r="G774" s="154">
        <v>4.4845350000000002</v>
      </c>
    </row>
    <row r="775" spans="1:7" x14ac:dyDescent="0.25">
      <c r="A775" t="s">
        <v>116</v>
      </c>
      <c r="B775" t="s">
        <v>398</v>
      </c>
      <c r="C775" t="s">
        <v>1777</v>
      </c>
      <c r="D775">
        <v>-4.1711640000000001</v>
      </c>
      <c r="E775">
        <v>1.1572210000000001</v>
      </c>
      <c r="F775">
        <v>-4.1711640000000001</v>
      </c>
      <c r="G775" s="154">
        <v>7.9366649999999996</v>
      </c>
    </row>
    <row r="776" spans="1:7" x14ac:dyDescent="0.25">
      <c r="A776" t="s">
        <v>116</v>
      </c>
      <c r="B776" t="s">
        <v>398</v>
      </c>
      <c r="C776" t="s">
        <v>1778</v>
      </c>
      <c r="D776">
        <v>-5.0697229999999998</v>
      </c>
      <c r="E776">
        <v>0.28519709999999998</v>
      </c>
      <c r="F776">
        <v>-5.0697229999999998</v>
      </c>
      <c r="G776" s="154">
        <v>4.2706569999999999</v>
      </c>
    </row>
    <row r="777" spans="1:7" x14ac:dyDescent="0.25">
      <c r="A777" t="s">
        <v>116</v>
      </c>
      <c r="B777" t="s">
        <v>398</v>
      </c>
      <c r="C777" t="s">
        <v>1779</v>
      </c>
      <c r="D777">
        <v>-5.0960840000000003</v>
      </c>
      <c r="E777">
        <v>0.39461499999999999</v>
      </c>
      <c r="F777">
        <v>-5.0960840000000003</v>
      </c>
      <c r="G777" s="154">
        <v>4.1176019999999998</v>
      </c>
    </row>
    <row r="778" spans="1:7" x14ac:dyDescent="0.25">
      <c r="A778" t="s">
        <v>116</v>
      </c>
      <c r="B778" t="s">
        <v>398</v>
      </c>
      <c r="C778" t="s">
        <v>1780</v>
      </c>
      <c r="D778">
        <v>-4.834174</v>
      </c>
      <c r="E778">
        <v>0.79661579999999999</v>
      </c>
      <c r="F778">
        <v>-4.834174</v>
      </c>
      <c r="G778" s="154">
        <v>4.5137210000000003</v>
      </c>
    </row>
    <row r="779" spans="1:7" x14ac:dyDescent="0.25">
      <c r="A779" t="s">
        <v>116</v>
      </c>
      <c r="B779" t="s">
        <v>398</v>
      </c>
      <c r="C779" t="s">
        <v>1781</v>
      </c>
      <c r="D779">
        <v>-5.242496</v>
      </c>
      <c r="E779">
        <v>0.16878960000000001</v>
      </c>
      <c r="F779">
        <v>-5.242496</v>
      </c>
      <c r="G779" s="154">
        <v>3.6934490000000002</v>
      </c>
    </row>
    <row r="780" spans="1:7" x14ac:dyDescent="0.25">
      <c r="A780" t="s">
        <v>116</v>
      </c>
      <c r="B780" t="s">
        <v>398</v>
      </c>
      <c r="C780" t="s">
        <v>1782</v>
      </c>
      <c r="D780">
        <v>-4.9681610000000003</v>
      </c>
      <c r="E780">
        <v>0.54606500000000002</v>
      </c>
      <c r="F780">
        <v>-4.9681610000000003</v>
      </c>
      <c r="G780" s="154">
        <v>4.3286199999999999</v>
      </c>
    </row>
    <row r="781" spans="1:7" x14ac:dyDescent="0.25">
      <c r="A781" t="s">
        <v>116</v>
      </c>
      <c r="B781" t="s">
        <v>398</v>
      </c>
      <c r="C781" t="s">
        <v>1783</v>
      </c>
      <c r="D781">
        <v>-4.3615890000000004</v>
      </c>
      <c r="E781">
        <v>0.94093629999999995</v>
      </c>
      <c r="F781">
        <v>-4.3615890000000004</v>
      </c>
      <c r="G781" s="154">
        <v>7.5416559999999997</v>
      </c>
    </row>
    <row r="782" spans="1:7" x14ac:dyDescent="0.25">
      <c r="A782" t="s">
        <v>116</v>
      </c>
      <c r="B782" t="s">
        <v>398</v>
      </c>
      <c r="C782" t="s">
        <v>1784</v>
      </c>
      <c r="D782">
        <v>-4.3115350000000001</v>
      </c>
      <c r="E782">
        <v>0.91249380000000002</v>
      </c>
      <c r="F782">
        <v>-4.3115350000000001</v>
      </c>
      <c r="G782" s="154">
        <v>6.2132319999999996</v>
      </c>
    </row>
    <row r="783" spans="1:7" x14ac:dyDescent="0.25">
      <c r="A783" t="s">
        <v>116</v>
      </c>
      <c r="B783" t="s">
        <v>398</v>
      </c>
      <c r="C783" t="s">
        <v>1785</v>
      </c>
      <c r="D783">
        <v>-4.909071</v>
      </c>
      <c r="E783">
        <v>1.2406219999999999</v>
      </c>
      <c r="F783">
        <v>-4.909071</v>
      </c>
      <c r="G783" s="154">
        <v>6.6615089999999997</v>
      </c>
    </row>
    <row r="784" spans="1:7" x14ac:dyDescent="0.25">
      <c r="A784" t="s">
        <v>116</v>
      </c>
      <c r="B784" t="s">
        <v>398</v>
      </c>
      <c r="C784" t="s">
        <v>1786</v>
      </c>
      <c r="D784">
        <v>-4.682455</v>
      </c>
      <c r="E784">
        <v>1.130932</v>
      </c>
      <c r="F784">
        <v>-4.682455</v>
      </c>
      <c r="G784" s="154">
        <v>7.0452849999999998</v>
      </c>
    </row>
    <row r="785" spans="1:7" x14ac:dyDescent="0.25">
      <c r="A785" t="s">
        <v>116</v>
      </c>
      <c r="B785" t="s">
        <v>398</v>
      </c>
      <c r="C785" t="s">
        <v>1787</v>
      </c>
      <c r="D785">
        <v>-4.6457889999999997</v>
      </c>
      <c r="E785">
        <v>1.828506</v>
      </c>
      <c r="F785">
        <v>-4.6457889999999997</v>
      </c>
      <c r="G785" s="154">
        <v>8.2755749999999999</v>
      </c>
    </row>
    <row r="786" spans="1:7" x14ac:dyDescent="0.25">
      <c r="A786" t="s">
        <v>116</v>
      </c>
      <c r="B786" t="s">
        <v>398</v>
      </c>
      <c r="C786" t="s">
        <v>1788</v>
      </c>
      <c r="D786">
        <v>-5.3044919999999998</v>
      </c>
      <c r="E786">
        <v>1.2294609999999999</v>
      </c>
      <c r="F786">
        <v>-5.3044919999999998</v>
      </c>
      <c r="G786" s="154">
        <v>5.7710480000000004</v>
      </c>
    </row>
    <row r="787" spans="1:7" x14ac:dyDescent="0.25">
      <c r="A787" t="s">
        <v>116</v>
      </c>
      <c r="B787" t="s">
        <v>398</v>
      </c>
      <c r="C787" t="s">
        <v>1789</v>
      </c>
      <c r="D787">
        <v>-4.7909579999999998</v>
      </c>
      <c r="E787">
        <v>0.60043100000000005</v>
      </c>
      <c r="F787">
        <v>-4.7909579999999998</v>
      </c>
      <c r="G787" s="154">
        <v>6.3126509999999998</v>
      </c>
    </row>
    <row r="788" spans="1:7" x14ac:dyDescent="0.25">
      <c r="A788" t="s">
        <v>116</v>
      </c>
      <c r="B788" t="s">
        <v>398</v>
      </c>
      <c r="C788" t="s">
        <v>1790</v>
      </c>
      <c r="D788">
        <v>-4.5101589999999998</v>
      </c>
      <c r="E788">
        <v>1.012443</v>
      </c>
      <c r="F788">
        <v>-4.5101589999999998</v>
      </c>
      <c r="G788" s="154">
        <v>6.4421590000000002</v>
      </c>
    </row>
    <row r="789" spans="1:7" x14ac:dyDescent="0.25">
      <c r="A789" t="s">
        <v>116</v>
      </c>
      <c r="B789" t="s">
        <v>398</v>
      </c>
      <c r="C789" t="s">
        <v>1791</v>
      </c>
      <c r="D789">
        <v>-4.7928579999999998</v>
      </c>
      <c r="E789">
        <v>0.74470389999999997</v>
      </c>
      <c r="F789">
        <v>-4.7928579999999998</v>
      </c>
      <c r="G789" s="154">
        <v>6.0410659999999998</v>
      </c>
    </row>
    <row r="790" spans="1:7" x14ac:dyDescent="0.25">
      <c r="A790" t="s">
        <v>116</v>
      </c>
      <c r="B790" t="s">
        <v>398</v>
      </c>
      <c r="C790" t="s">
        <v>1792</v>
      </c>
      <c r="D790">
        <v>-5.066986</v>
      </c>
      <c r="E790">
        <v>1.044807</v>
      </c>
      <c r="F790">
        <v>-5.066986</v>
      </c>
      <c r="G790" s="154">
        <v>5.8048900000000003</v>
      </c>
    </row>
    <row r="791" spans="1:7" x14ac:dyDescent="0.25">
      <c r="A791" t="s">
        <v>116</v>
      </c>
      <c r="B791" t="s">
        <v>398</v>
      </c>
      <c r="C791" t="s">
        <v>1793</v>
      </c>
      <c r="D791">
        <v>-4.8527199999999997</v>
      </c>
      <c r="E791">
        <v>0.40180250000000001</v>
      </c>
      <c r="F791">
        <v>-4.8527199999999997</v>
      </c>
      <c r="G791" s="154">
        <v>5.3323640000000001</v>
      </c>
    </row>
    <row r="792" spans="1:7" x14ac:dyDescent="0.25">
      <c r="A792" t="s">
        <v>116</v>
      </c>
      <c r="B792" t="s">
        <v>398</v>
      </c>
      <c r="C792" t="s">
        <v>1794</v>
      </c>
      <c r="D792">
        <v>-5.1559749999999998</v>
      </c>
      <c r="E792">
        <v>0.63629829999999998</v>
      </c>
      <c r="F792">
        <v>-5.1559749999999998</v>
      </c>
      <c r="G792" s="154">
        <v>5.1754910000000001</v>
      </c>
    </row>
    <row r="793" spans="1:7" x14ac:dyDescent="0.25">
      <c r="A793" t="s">
        <v>116</v>
      </c>
      <c r="B793" t="s">
        <v>398</v>
      </c>
      <c r="C793" t="s">
        <v>1795</v>
      </c>
      <c r="D793">
        <v>-4.7196749999999996</v>
      </c>
      <c r="E793">
        <v>1.4308559999999999</v>
      </c>
      <c r="F793">
        <v>-4.7196749999999996</v>
      </c>
      <c r="G793" s="154">
        <v>8.0645749999999996</v>
      </c>
    </row>
    <row r="794" spans="1:7" x14ac:dyDescent="0.25">
      <c r="A794" t="s">
        <v>116</v>
      </c>
      <c r="B794" t="s">
        <v>398</v>
      </c>
      <c r="C794" t="s">
        <v>1796</v>
      </c>
      <c r="D794">
        <v>-4.7401070000000001</v>
      </c>
      <c r="E794">
        <v>0.80013480000000003</v>
      </c>
      <c r="F794">
        <v>-4.7401070000000001</v>
      </c>
      <c r="G794" s="154">
        <v>7.4473770000000004</v>
      </c>
    </row>
    <row r="795" spans="1:7" x14ac:dyDescent="0.25">
      <c r="A795" t="s">
        <v>116</v>
      </c>
      <c r="B795" t="s">
        <v>398</v>
      </c>
      <c r="C795" t="s">
        <v>1797</v>
      </c>
      <c r="D795">
        <v>-5.1133249999999997</v>
      </c>
      <c r="E795">
        <v>1.1917599999999999</v>
      </c>
      <c r="F795">
        <v>-5.1133249999999997</v>
      </c>
      <c r="G795" s="154">
        <v>6.7848519999999999</v>
      </c>
    </row>
    <row r="796" spans="1:7" x14ac:dyDescent="0.25">
      <c r="A796" t="s">
        <v>90</v>
      </c>
      <c r="B796" t="s">
        <v>399</v>
      </c>
      <c r="C796" t="s">
        <v>1798</v>
      </c>
      <c r="D796">
        <v>-7.6632600000000002</v>
      </c>
      <c r="E796">
        <v>2.3387959999999999</v>
      </c>
      <c r="F796">
        <v>-5.3244629999999997</v>
      </c>
      <c r="G796" s="154">
        <v>6.5651029999999997</v>
      </c>
    </row>
    <row r="797" spans="1:7" x14ac:dyDescent="0.25">
      <c r="A797" t="s">
        <v>90</v>
      </c>
      <c r="B797" t="s">
        <v>399</v>
      </c>
      <c r="C797" t="s">
        <v>1799</v>
      </c>
      <c r="D797">
        <v>-6.3401969999999999</v>
      </c>
      <c r="E797">
        <v>2.4731200000000002</v>
      </c>
      <c r="F797">
        <v>-3.8670770000000001</v>
      </c>
      <c r="G797" s="154">
        <v>6.5573410000000001</v>
      </c>
    </row>
    <row r="798" spans="1:7" x14ac:dyDescent="0.25">
      <c r="A798" t="s">
        <v>90</v>
      </c>
      <c r="B798" t="s">
        <v>399</v>
      </c>
      <c r="C798" t="s">
        <v>1800</v>
      </c>
      <c r="D798">
        <v>-6.8708819999999999</v>
      </c>
      <c r="E798">
        <v>3.1623000000000001</v>
      </c>
      <c r="F798">
        <v>-3.7085819999999998</v>
      </c>
      <c r="G798" s="154">
        <v>7.5773489999999999</v>
      </c>
    </row>
    <row r="799" spans="1:7" x14ac:dyDescent="0.25">
      <c r="A799" t="s">
        <v>90</v>
      </c>
      <c r="B799" t="s">
        <v>399</v>
      </c>
      <c r="C799" t="s">
        <v>1801</v>
      </c>
      <c r="D799">
        <v>-6.4166650000000001</v>
      </c>
      <c r="E799">
        <v>3.0255209999999999</v>
      </c>
      <c r="F799">
        <v>-3.3911440000000002</v>
      </c>
      <c r="G799" s="154">
        <v>6.2103659999999996</v>
      </c>
    </row>
    <row r="800" spans="1:7" x14ac:dyDescent="0.25">
      <c r="A800" t="s">
        <v>90</v>
      </c>
      <c r="B800" t="s">
        <v>399</v>
      </c>
      <c r="C800" t="s">
        <v>1802</v>
      </c>
      <c r="D800">
        <v>-8.2057249999999993</v>
      </c>
      <c r="E800">
        <v>2.4619789999999999</v>
      </c>
      <c r="F800">
        <v>-5.7437449999999997</v>
      </c>
      <c r="G800" s="154">
        <v>7.2456620000000003</v>
      </c>
    </row>
    <row r="801" spans="1:7" x14ac:dyDescent="0.25">
      <c r="A801" t="s">
        <v>90</v>
      </c>
      <c r="B801" t="s">
        <v>399</v>
      </c>
      <c r="C801" t="s">
        <v>1803</v>
      </c>
      <c r="D801">
        <v>-6.6110389999999999</v>
      </c>
      <c r="E801">
        <v>2.7043050000000002</v>
      </c>
      <c r="F801">
        <v>-3.9067340000000002</v>
      </c>
      <c r="G801" s="154">
        <v>6.1385079999999999</v>
      </c>
    </row>
    <row r="802" spans="1:7" x14ac:dyDescent="0.25">
      <c r="A802" t="s">
        <v>90</v>
      </c>
      <c r="B802" t="s">
        <v>399</v>
      </c>
      <c r="C802" t="s">
        <v>1804</v>
      </c>
      <c r="D802">
        <v>-3.3832620000000002</v>
      </c>
      <c r="E802">
        <v>3.341564</v>
      </c>
      <c r="F802">
        <v>-4.1698300000000001E-2</v>
      </c>
      <c r="G802" s="154">
        <v>7.0250019999999997</v>
      </c>
    </row>
    <row r="803" spans="1:7" x14ac:dyDescent="0.25">
      <c r="A803" t="s">
        <v>90</v>
      </c>
      <c r="B803" t="s">
        <v>399</v>
      </c>
      <c r="C803" t="s">
        <v>1805</v>
      </c>
      <c r="D803">
        <v>-6.5947430000000002</v>
      </c>
      <c r="E803">
        <v>2.8181050000000001</v>
      </c>
      <c r="F803">
        <v>-3.7766380000000002</v>
      </c>
      <c r="G803" s="154">
        <v>6.1949519999999998</v>
      </c>
    </row>
    <row r="804" spans="1:7" x14ac:dyDescent="0.25">
      <c r="A804" t="s">
        <v>90</v>
      </c>
      <c r="B804" t="s">
        <v>399</v>
      </c>
      <c r="C804" t="s">
        <v>1806</v>
      </c>
      <c r="D804">
        <v>-6.0387919999999999</v>
      </c>
      <c r="E804">
        <v>3.4494919999999998</v>
      </c>
      <c r="F804">
        <v>-2.589299</v>
      </c>
      <c r="G804" s="154">
        <v>5.0588300000000004</v>
      </c>
    </row>
    <row r="805" spans="1:7" x14ac:dyDescent="0.25">
      <c r="A805" t="s">
        <v>90</v>
      </c>
      <c r="B805" t="s">
        <v>399</v>
      </c>
      <c r="C805" t="s">
        <v>1807</v>
      </c>
      <c r="D805">
        <v>-7.7528889999999997</v>
      </c>
      <c r="E805">
        <v>2.7814109999999999</v>
      </c>
      <c r="F805">
        <v>-4.9714780000000003</v>
      </c>
      <c r="G805" s="154">
        <v>7.1973560000000001</v>
      </c>
    </row>
    <row r="806" spans="1:7" x14ac:dyDescent="0.25">
      <c r="A806" t="s">
        <v>90</v>
      </c>
      <c r="B806" t="s">
        <v>399</v>
      </c>
      <c r="C806" t="s">
        <v>1808</v>
      </c>
      <c r="D806">
        <v>-4.3520149999999997</v>
      </c>
      <c r="E806">
        <v>3.2092779999999999</v>
      </c>
      <c r="F806">
        <v>-1.142736</v>
      </c>
      <c r="G806" s="154">
        <v>8.4702269999999995</v>
      </c>
    </row>
    <row r="807" spans="1:7" x14ac:dyDescent="0.25">
      <c r="A807" t="s">
        <v>90</v>
      </c>
      <c r="B807" t="s">
        <v>399</v>
      </c>
      <c r="C807" t="s">
        <v>1809</v>
      </c>
      <c r="D807">
        <v>-5.0161049999999996</v>
      </c>
      <c r="E807">
        <v>3.6471110000000002</v>
      </c>
      <c r="F807">
        <v>-1.368994</v>
      </c>
      <c r="G807" s="154">
        <v>5.6155920000000004</v>
      </c>
    </row>
    <row r="808" spans="1:7" x14ac:dyDescent="0.25">
      <c r="A808" t="s">
        <v>90</v>
      </c>
      <c r="B808" t="s">
        <v>399</v>
      </c>
      <c r="C808" t="s">
        <v>1810</v>
      </c>
      <c r="D808">
        <v>-7.3412189999999997</v>
      </c>
      <c r="E808">
        <v>2.671576</v>
      </c>
      <c r="F808">
        <v>-4.6696429999999998</v>
      </c>
      <c r="G808" s="154">
        <v>4.749962</v>
      </c>
    </row>
    <row r="809" spans="1:7" x14ac:dyDescent="0.25">
      <c r="A809" t="s">
        <v>90</v>
      </c>
      <c r="B809" t="s">
        <v>399</v>
      </c>
      <c r="C809" t="s">
        <v>1811</v>
      </c>
      <c r="D809">
        <v>-7.1776350000000004</v>
      </c>
      <c r="E809">
        <v>2.7333750000000001</v>
      </c>
      <c r="F809">
        <v>-4.4442599999999999</v>
      </c>
      <c r="G809" s="154">
        <v>6.2564979999999997</v>
      </c>
    </row>
    <row r="810" spans="1:7" x14ac:dyDescent="0.25">
      <c r="A810" t="s">
        <v>90</v>
      </c>
      <c r="B810" t="s">
        <v>399</v>
      </c>
      <c r="C810" t="s">
        <v>1812</v>
      </c>
      <c r="D810">
        <v>-6.3070490000000001</v>
      </c>
      <c r="E810">
        <v>2.8303560000000001</v>
      </c>
      <c r="F810">
        <v>-3.4766940000000002</v>
      </c>
      <c r="G810" s="154">
        <v>5.9708540000000001</v>
      </c>
    </row>
    <row r="811" spans="1:7" x14ac:dyDescent="0.25">
      <c r="A811" t="s">
        <v>90</v>
      </c>
      <c r="B811" t="s">
        <v>399</v>
      </c>
      <c r="C811" t="s">
        <v>1813</v>
      </c>
      <c r="D811">
        <v>-7.4960290000000001</v>
      </c>
      <c r="E811">
        <v>2.5898249999999998</v>
      </c>
      <c r="F811">
        <v>-4.9062039999999998</v>
      </c>
      <c r="G811" s="154">
        <v>6.1743880000000004</v>
      </c>
    </row>
    <row r="812" spans="1:7" x14ac:dyDescent="0.25">
      <c r="A812" t="s">
        <v>90</v>
      </c>
      <c r="B812" t="s">
        <v>399</v>
      </c>
      <c r="C812" t="s">
        <v>1814</v>
      </c>
      <c r="D812">
        <v>-7.1293749999999996</v>
      </c>
      <c r="E812">
        <v>2.6899519999999999</v>
      </c>
      <c r="F812">
        <v>-4.4394229999999997</v>
      </c>
      <c r="G812" s="154">
        <v>5.4870809999999999</v>
      </c>
    </row>
    <row r="813" spans="1:7" x14ac:dyDescent="0.25">
      <c r="A813" t="s">
        <v>132</v>
      </c>
      <c r="B813" t="s">
        <v>400</v>
      </c>
      <c r="C813" t="s">
        <v>1815</v>
      </c>
      <c r="D813">
        <v>-4.5327469999999996</v>
      </c>
      <c r="E813">
        <v>3.1857039999999999</v>
      </c>
      <c r="F813">
        <v>-1.9805269999999999</v>
      </c>
      <c r="G813" s="154">
        <v>10.756460000000001</v>
      </c>
    </row>
    <row r="814" spans="1:7" x14ac:dyDescent="0.25">
      <c r="A814" t="s">
        <v>132</v>
      </c>
      <c r="B814" t="s">
        <v>400</v>
      </c>
      <c r="C814" t="s">
        <v>1816</v>
      </c>
      <c r="D814">
        <v>-4.5395070000000004</v>
      </c>
      <c r="E814">
        <v>3.0992709999999999</v>
      </c>
      <c r="F814">
        <v>-1.938409</v>
      </c>
      <c r="G814" s="154">
        <v>10.54627</v>
      </c>
    </row>
    <row r="815" spans="1:7" x14ac:dyDescent="0.25">
      <c r="A815" t="s">
        <v>132</v>
      </c>
      <c r="B815" t="s">
        <v>400</v>
      </c>
      <c r="C815" t="s">
        <v>1817</v>
      </c>
      <c r="D815">
        <v>-4.1949969999999999</v>
      </c>
      <c r="E815">
        <v>3.1870370000000001</v>
      </c>
      <c r="F815">
        <v>-1.847345</v>
      </c>
      <c r="G815" s="154">
        <v>11.09324</v>
      </c>
    </row>
    <row r="816" spans="1:7" x14ac:dyDescent="0.25">
      <c r="A816" t="s">
        <v>132</v>
      </c>
      <c r="B816" t="s">
        <v>400</v>
      </c>
      <c r="C816" t="s">
        <v>1818</v>
      </c>
      <c r="D816">
        <v>-4.8861020000000002</v>
      </c>
      <c r="E816">
        <v>2.9621559999999998</v>
      </c>
      <c r="F816">
        <v>-2.4648469999999998</v>
      </c>
      <c r="G816" s="154">
        <v>10.462210000000001</v>
      </c>
    </row>
    <row r="817" spans="1:7" x14ac:dyDescent="0.25">
      <c r="A817" t="s">
        <v>132</v>
      </c>
      <c r="B817" t="s">
        <v>400</v>
      </c>
      <c r="C817" t="s">
        <v>1819</v>
      </c>
      <c r="D817">
        <v>-4.6369740000000004</v>
      </c>
      <c r="E817">
        <v>3.0497260000000002</v>
      </c>
      <c r="F817">
        <v>-1.917845</v>
      </c>
      <c r="G817" s="154">
        <v>9.8862059999999996</v>
      </c>
    </row>
    <row r="818" spans="1:7" x14ac:dyDescent="0.25">
      <c r="A818" t="s">
        <v>132</v>
      </c>
      <c r="B818" t="s">
        <v>400</v>
      </c>
      <c r="C818" t="s">
        <v>1820</v>
      </c>
      <c r="D818">
        <v>-4.475352</v>
      </c>
      <c r="E818">
        <v>3.1512690000000001</v>
      </c>
      <c r="F818">
        <v>-2.136965</v>
      </c>
      <c r="G818" s="154">
        <v>11.23129</v>
      </c>
    </row>
    <row r="819" spans="1:7" x14ac:dyDescent="0.25">
      <c r="A819" t="s">
        <v>132</v>
      </c>
      <c r="B819" t="s">
        <v>400</v>
      </c>
      <c r="C819" t="s">
        <v>1821</v>
      </c>
      <c r="D819">
        <v>-4.335629</v>
      </c>
      <c r="E819">
        <v>3.4929230000000002</v>
      </c>
      <c r="F819">
        <v>-2.0811709999999999</v>
      </c>
      <c r="G819" s="154">
        <v>10.160220000000001</v>
      </c>
    </row>
    <row r="820" spans="1:7" x14ac:dyDescent="0.25">
      <c r="A820" t="s">
        <v>132</v>
      </c>
      <c r="B820" t="s">
        <v>400</v>
      </c>
      <c r="C820" t="s">
        <v>1822</v>
      </c>
      <c r="D820">
        <v>-5.3625670000000003</v>
      </c>
      <c r="E820">
        <v>1.5575399999999999</v>
      </c>
      <c r="F820">
        <v>-2.7370540000000001</v>
      </c>
      <c r="G820" s="154">
        <v>10.4046</v>
      </c>
    </row>
    <row r="821" spans="1:7" x14ac:dyDescent="0.25">
      <c r="A821" t="s">
        <v>132</v>
      </c>
      <c r="B821" t="s">
        <v>400</v>
      </c>
      <c r="C821" t="s">
        <v>1823</v>
      </c>
      <c r="D821">
        <v>-4.7911710000000003</v>
      </c>
      <c r="E821">
        <v>3.3848220000000002</v>
      </c>
      <c r="F821">
        <v>-2.0080209999999998</v>
      </c>
      <c r="G821" s="154">
        <v>10.08398</v>
      </c>
    </row>
    <row r="822" spans="1:7" x14ac:dyDescent="0.25">
      <c r="A822" t="s">
        <v>132</v>
      </c>
      <c r="B822" t="s">
        <v>400</v>
      </c>
      <c r="C822" t="s">
        <v>1824</v>
      </c>
      <c r="D822">
        <v>-5.5468010000000003</v>
      </c>
      <c r="E822">
        <v>1.582465</v>
      </c>
      <c r="F822">
        <v>-2.964712</v>
      </c>
      <c r="G822" s="154">
        <v>9.5487540000000006</v>
      </c>
    </row>
    <row r="823" spans="1:7" x14ac:dyDescent="0.25">
      <c r="A823" t="s">
        <v>132</v>
      </c>
      <c r="B823" t="s">
        <v>400</v>
      </c>
      <c r="C823" t="s">
        <v>1825</v>
      </c>
      <c r="D823">
        <v>-4.3077649999999998</v>
      </c>
      <c r="E823">
        <v>3.002516</v>
      </c>
      <c r="F823">
        <v>-1.970324</v>
      </c>
      <c r="G823" s="154">
        <v>10.06058</v>
      </c>
    </row>
    <row r="824" spans="1:7" x14ac:dyDescent="0.25">
      <c r="A824" t="s">
        <v>132</v>
      </c>
      <c r="B824" t="s">
        <v>400</v>
      </c>
      <c r="C824" t="s">
        <v>1826</v>
      </c>
      <c r="D824">
        <v>-4.5665279999999999</v>
      </c>
      <c r="E824">
        <v>3.5493519999999998</v>
      </c>
      <c r="F824">
        <v>-1.9652210000000001</v>
      </c>
      <c r="G824" s="154">
        <v>10.826779999999999</v>
      </c>
    </row>
    <row r="825" spans="1:7" x14ac:dyDescent="0.25">
      <c r="A825" t="s">
        <v>132</v>
      </c>
      <c r="B825" t="s">
        <v>400</v>
      </c>
      <c r="C825" t="s">
        <v>1827</v>
      </c>
      <c r="D825">
        <v>-4.7440519999999999</v>
      </c>
      <c r="E825">
        <v>2.9784519999999999</v>
      </c>
      <c r="F825">
        <v>-2.1914500000000001</v>
      </c>
      <c r="G825" s="154">
        <v>9.6637500000000003</v>
      </c>
    </row>
    <row r="826" spans="1:7" x14ac:dyDescent="0.25">
      <c r="A826" t="s">
        <v>132</v>
      </c>
      <c r="B826" t="s">
        <v>400</v>
      </c>
      <c r="C826" t="s">
        <v>1828</v>
      </c>
      <c r="D826">
        <v>-4.8225360000000004</v>
      </c>
      <c r="E826">
        <v>3.1777690000000001</v>
      </c>
      <c r="F826">
        <v>-2.1296789999999999</v>
      </c>
      <c r="G826" s="154">
        <v>10.21724</v>
      </c>
    </row>
    <row r="827" spans="1:7" x14ac:dyDescent="0.25">
      <c r="A827" t="s">
        <v>132</v>
      </c>
      <c r="B827" t="s">
        <v>400</v>
      </c>
      <c r="C827" t="s">
        <v>1829</v>
      </c>
      <c r="D827">
        <v>-4.3283009999999997</v>
      </c>
      <c r="E827">
        <v>3.2208459999999999</v>
      </c>
      <c r="F827">
        <v>-1.7471429999999999</v>
      </c>
      <c r="G827" s="154">
        <v>10.5823</v>
      </c>
    </row>
    <row r="828" spans="1:7" x14ac:dyDescent="0.25">
      <c r="A828" t="s">
        <v>132</v>
      </c>
      <c r="B828" t="s">
        <v>400</v>
      </c>
      <c r="C828" t="s">
        <v>1830</v>
      </c>
      <c r="D828">
        <v>-4.4574490000000004</v>
      </c>
      <c r="E828">
        <v>2.5807500000000001</v>
      </c>
      <c r="F828">
        <v>-2.1857959999999999</v>
      </c>
      <c r="G828" s="154">
        <v>10.998659999999999</v>
      </c>
    </row>
    <row r="829" spans="1:7" x14ac:dyDescent="0.25">
      <c r="A829" t="s">
        <v>146</v>
      </c>
      <c r="B829" t="s">
        <v>401</v>
      </c>
      <c r="C829" t="s">
        <v>1831</v>
      </c>
      <c r="D829">
        <v>-5.1041239999999997</v>
      </c>
      <c r="E829">
        <v>1.2844310000000001</v>
      </c>
      <c r="F829">
        <v>-3.3982619999999999</v>
      </c>
      <c r="G829" s="154">
        <v>7.0195879999999997</v>
      </c>
    </row>
    <row r="830" spans="1:7" x14ac:dyDescent="0.25">
      <c r="A830" t="s">
        <v>146</v>
      </c>
      <c r="B830" t="s">
        <v>401</v>
      </c>
      <c r="C830" t="s">
        <v>1832</v>
      </c>
      <c r="D830">
        <v>-4.8882989999999999</v>
      </c>
      <c r="E830">
        <v>1.098393</v>
      </c>
      <c r="F830">
        <v>-2.991752</v>
      </c>
      <c r="G830" s="154">
        <v>7.5010070000000004</v>
      </c>
    </row>
    <row r="831" spans="1:7" x14ac:dyDescent="0.25">
      <c r="A831" t="s">
        <v>146</v>
      </c>
      <c r="B831" t="s">
        <v>401</v>
      </c>
      <c r="C831" t="s">
        <v>1833</v>
      </c>
      <c r="D831">
        <v>-4.9785919999999999</v>
      </c>
      <c r="E831">
        <v>1.130433</v>
      </c>
      <c r="F831">
        <v>-3.715903</v>
      </c>
      <c r="G831" s="154">
        <v>7.111421</v>
      </c>
    </row>
    <row r="832" spans="1:7" x14ac:dyDescent="0.25">
      <c r="A832" t="s">
        <v>146</v>
      </c>
      <c r="B832" t="s">
        <v>401</v>
      </c>
      <c r="C832" t="s">
        <v>1834</v>
      </c>
      <c r="D832">
        <v>-4.6531989999999999</v>
      </c>
      <c r="E832">
        <v>1.1960809999999999</v>
      </c>
      <c r="F832">
        <v>-2.4639329999999999</v>
      </c>
      <c r="G832" s="154">
        <v>7.1459789999999996</v>
      </c>
    </row>
    <row r="833" spans="1:7" x14ac:dyDescent="0.25">
      <c r="A833" t="s">
        <v>146</v>
      </c>
      <c r="B833" t="s">
        <v>401</v>
      </c>
      <c r="C833" t="s">
        <v>1835</v>
      </c>
      <c r="D833">
        <v>-4.899775</v>
      </c>
      <c r="E833">
        <v>1.388552</v>
      </c>
      <c r="F833">
        <v>-3.0367760000000001</v>
      </c>
      <c r="G833" s="154">
        <v>8.2152229999999999</v>
      </c>
    </row>
    <row r="834" spans="1:7" x14ac:dyDescent="0.25">
      <c r="A834" t="s">
        <v>146</v>
      </c>
      <c r="B834" t="s">
        <v>401</v>
      </c>
      <c r="C834" t="s">
        <v>1836</v>
      </c>
      <c r="D834">
        <v>-5.2074850000000001</v>
      </c>
      <c r="E834">
        <v>1.4073359999999999</v>
      </c>
      <c r="F834">
        <v>-3.5946199999999999</v>
      </c>
      <c r="G834" s="154">
        <v>7.2113290000000001</v>
      </c>
    </row>
    <row r="835" spans="1:7" x14ac:dyDescent="0.25">
      <c r="A835" t="s">
        <v>146</v>
      </c>
      <c r="B835" t="s">
        <v>401</v>
      </c>
      <c r="C835" t="s">
        <v>1837</v>
      </c>
      <c r="D835">
        <v>-4.4702840000000004</v>
      </c>
      <c r="E835">
        <v>1.3756649999999999</v>
      </c>
      <c r="F835">
        <v>-2.1903239999999999</v>
      </c>
      <c r="G835" s="154">
        <v>7.3807219999999996</v>
      </c>
    </row>
    <row r="836" spans="1:7" x14ac:dyDescent="0.25">
      <c r="A836" t="s">
        <v>100</v>
      </c>
      <c r="B836" t="s">
        <v>397</v>
      </c>
      <c r="C836" t="s">
        <v>1838</v>
      </c>
      <c r="D836">
        <v>-5.9456819999999997</v>
      </c>
      <c r="G836" s="154">
        <v>9.2484640000000002</v>
      </c>
    </row>
    <row r="837" spans="1:7" x14ac:dyDescent="0.25">
      <c r="A837" t="s">
        <v>100</v>
      </c>
      <c r="B837" t="s">
        <v>397</v>
      </c>
      <c r="C837" t="s">
        <v>1371</v>
      </c>
      <c r="D837">
        <v>-7.2206229999999998</v>
      </c>
      <c r="G837" s="154">
        <v>7.1652189999999996</v>
      </c>
    </row>
    <row r="838" spans="1:7" x14ac:dyDescent="0.25">
      <c r="A838" t="s">
        <v>110</v>
      </c>
      <c r="B838" t="s">
        <v>404</v>
      </c>
      <c r="C838" t="s">
        <v>1839</v>
      </c>
      <c r="D838">
        <v>-5.3291300000000001</v>
      </c>
      <c r="E838">
        <v>2.1106609999999999</v>
      </c>
      <c r="F838">
        <v>-2.4605060000000001</v>
      </c>
      <c r="G838" s="154">
        <v>10.66887</v>
      </c>
    </row>
    <row r="839" spans="1:7" x14ac:dyDescent="0.25">
      <c r="A839" t="s">
        <v>110</v>
      </c>
      <c r="B839" t="s">
        <v>404</v>
      </c>
      <c r="C839" t="s">
        <v>1840</v>
      </c>
      <c r="D839">
        <v>-5.5821019999999999</v>
      </c>
      <c r="E839">
        <v>2.2286579999999998</v>
      </c>
      <c r="F839">
        <v>-2.3835130000000002</v>
      </c>
      <c r="G839" s="154">
        <v>9.546443</v>
      </c>
    </row>
    <row r="840" spans="1:7" x14ac:dyDescent="0.25">
      <c r="A840" t="s">
        <v>110</v>
      </c>
      <c r="B840" t="s">
        <v>404</v>
      </c>
      <c r="C840" t="s">
        <v>1841</v>
      </c>
      <c r="D840">
        <v>-6.1801110000000001</v>
      </c>
      <c r="E840">
        <v>2.133813</v>
      </c>
      <c r="F840">
        <v>-3.0795530000000002</v>
      </c>
      <c r="G840" s="154">
        <v>9.3248599999999993</v>
      </c>
    </row>
    <row r="841" spans="1:7" x14ac:dyDescent="0.25">
      <c r="A841" t="s">
        <v>110</v>
      </c>
      <c r="B841" t="s">
        <v>404</v>
      </c>
      <c r="C841" t="s">
        <v>1842</v>
      </c>
      <c r="D841">
        <v>-5.6466349999999998</v>
      </c>
      <c r="E841">
        <v>2.073137</v>
      </c>
      <c r="F841">
        <v>-2.5301079999999998</v>
      </c>
      <c r="G841" s="154">
        <v>9.9270119999999995</v>
      </c>
    </row>
    <row r="842" spans="1:7" x14ac:dyDescent="0.25">
      <c r="A842" t="s">
        <v>110</v>
      </c>
      <c r="B842" t="s">
        <v>404</v>
      </c>
      <c r="C842" t="s">
        <v>1843</v>
      </c>
      <c r="D842">
        <v>-6.2186320000000004</v>
      </c>
      <c r="E842">
        <v>2.2887270000000002</v>
      </c>
      <c r="F842">
        <v>-2.7688649999999999</v>
      </c>
      <c r="G842" s="154">
        <v>9.4872709999999998</v>
      </c>
    </row>
    <row r="843" spans="1:7" x14ac:dyDescent="0.25">
      <c r="A843" t="s">
        <v>110</v>
      </c>
      <c r="B843" t="s">
        <v>404</v>
      </c>
      <c r="C843" t="s">
        <v>1844</v>
      </c>
      <c r="D843">
        <v>-6.0990849999999996</v>
      </c>
      <c r="E843">
        <v>2.1541350000000001</v>
      </c>
      <c r="F843">
        <v>-2.8133270000000001</v>
      </c>
      <c r="G843" s="154">
        <v>9.5796030000000005</v>
      </c>
    </row>
    <row r="844" spans="1:7" x14ac:dyDescent="0.25">
      <c r="A844" t="s">
        <v>110</v>
      </c>
      <c r="B844" t="s">
        <v>404</v>
      </c>
      <c r="C844" t="s">
        <v>1845</v>
      </c>
      <c r="D844">
        <v>-6.3043519999999997</v>
      </c>
      <c r="E844">
        <v>2.272011</v>
      </c>
      <c r="F844">
        <v>-2.958561</v>
      </c>
      <c r="G844" s="154">
        <v>9.6951090000000004</v>
      </c>
    </row>
    <row r="845" spans="1:7" x14ac:dyDescent="0.25">
      <c r="A845" t="s">
        <v>110</v>
      </c>
      <c r="B845" t="s">
        <v>404</v>
      </c>
      <c r="C845" t="s">
        <v>1846</v>
      </c>
      <c r="D845">
        <v>-5.7425790000000001</v>
      </c>
      <c r="E845">
        <v>2.3175059999999998</v>
      </c>
      <c r="F845">
        <v>-2.2989700000000002</v>
      </c>
      <c r="G845" s="154">
        <v>9.7467849999999991</v>
      </c>
    </row>
    <row r="846" spans="1:7" x14ac:dyDescent="0.25">
      <c r="A846" t="s">
        <v>111</v>
      </c>
      <c r="B846" t="s">
        <v>405</v>
      </c>
      <c r="C846" t="s">
        <v>1847</v>
      </c>
      <c r="D846">
        <v>-3.9989699999999999</v>
      </c>
      <c r="E846">
        <v>2.8930630000000002</v>
      </c>
      <c r="F846">
        <v>-1.242008</v>
      </c>
      <c r="G846" s="154">
        <v>7.9671919999999998</v>
      </c>
    </row>
    <row r="847" spans="1:7" x14ac:dyDescent="0.25">
      <c r="A847" t="s">
        <v>111</v>
      </c>
      <c r="B847" t="s">
        <v>405</v>
      </c>
      <c r="C847" t="s">
        <v>1848</v>
      </c>
      <c r="D847">
        <v>-3.7591589999999999</v>
      </c>
      <c r="E847">
        <v>2.807423</v>
      </c>
      <c r="F847">
        <v>-1.0293060000000001</v>
      </c>
      <c r="G847" s="154">
        <v>7.4464220000000001</v>
      </c>
    </row>
    <row r="848" spans="1:7" x14ac:dyDescent="0.25">
      <c r="A848" t="s">
        <v>111</v>
      </c>
      <c r="B848" t="s">
        <v>405</v>
      </c>
      <c r="C848" t="s">
        <v>1849</v>
      </c>
      <c r="D848">
        <v>-3.0141909999999998</v>
      </c>
      <c r="E848">
        <v>2.161321</v>
      </c>
      <c r="F848">
        <v>-0.92272690000000002</v>
      </c>
      <c r="G848" s="154">
        <v>7.5403159999999998</v>
      </c>
    </row>
    <row r="849" spans="1:7" x14ac:dyDescent="0.25">
      <c r="A849" t="s">
        <v>111</v>
      </c>
      <c r="B849" t="s">
        <v>405</v>
      </c>
      <c r="C849" t="s">
        <v>1850</v>
      </c>
      <c r="D849">
        <v>-4.1506030000000003</v>
      </c>
      <c r="E849">
        <v>3.3904619999999999</v>
      </c>
      <c r="F849">
        <v>-0.83392350000000004</v>
      </c>
      <c r="G849" s="154">
        <v>7.7816599999999996</v>
      </c>
    </row>
    <row r="850" spans="1:7" x14ac:dyDescent="0.25">
      <c r="A850" t="s">
        <v>111</v>
      </c>
      <c r="B850" t="s">
        <v>405</v>
      </c>
      <c r="C850" t="s">
        <v>1851</v>
      </c>
      <c r="D850">
        <v>-3.891257</v>
      </c>
      <c r="E850">
        <v>3.1454689999999998</v>
      </c>
      <c r="F850">
        <v>-0.81907969999999997</v>
      </c>
      <c r="G850" s="154">
        <v>7.445786</v>
      </c>
    </row>
    <row r="851" spans="1:7" x14ac:dyDescent="0.25">
      <c r="A851" t="s">
        <v>111</v>
      </c>
      <c r="B851" t="s">
        <v>405</v>
      </c>
      <c r="C851" t="s">
        <v>1852</v>
      </c>
      <c r="D851">
        <v>-3.960359</v>
      </c>
      <c r="E851">
        <v>3.1332049999999998</v>
      </c>
      <c r="F851">
        <v>-0.91687160000000001</v>
      </c>
      <c r="G851" s="154">
        <v>8.0532599999999999</v>
      </c>
    </row>
    <row r="852" spans="1:7" x14ac:dyDescent="0.25">
      <c r="B852" t="s">
        <v>405</v>
      </c>
      <c r="C852" t="s">
        <v>1853</v>
      </c>
      <c r="D852">
        <v>-3.916391</v>
      </c>
      <c r="E852">
        <v>2.9941879999999998</v>
      </c>
      <c r="F852">
        <v>-0.97487040000000003</v>
      </c>
      <c r="G852" s="154">
        <v>7.9879790000000002</v>
      </c>
    </row>
    <row r="853" spans="1:7" x14ac:dyDescent="0.25">
      <c r="A853" t="s">
        <v>111</v>
      </c>
      <c r="B853" t="s">
        <v>405</v>
      </c>
      <c r="C853" t="s">
        <v>1854</v>
      </c>
      <c r="D853">
        <v>-4.1372080000000002</v>
      </c>
      <c r="E853">
        <v>3.2993990000000002</v>
      </c>
      <c r="F853">
        <v>-0.91404529999999995</v>
      </c>
      <c r="G853" s="154">
        <v>7.5616250000000003</v>
      </c>
    </row>
    <row r="854" spans="1:7" x14ac:dyDescent="0.25">
      <c r="A854" t="s">
        <v>111</v>
      </c>
      <c r="B854" t="s">
        <v>405</v>
      </c>
      <c r="C854" t="s">
        <v>1855</v>
      </c>
      <c r="D854">
        <v>-4.8354379999999999</v>
      </c>
      <c r="E854">
        <v>3.29426</v>
      </c>
      <c r="F854">
        <v>-1.750847</v>
      </c>
      <c r="G854" s="154">
        <v>7.3921910000000004</v>
      </c>
    </row>
    <row r="855" spans="1:7" x14ac:dyDescent="0.25">
      <c r="A855" t="s">
        <v>111</v>
      </c>
      <c r="B855" t="s">
        <v>405</v>
      </c>
      <c r="C855" t="s">
        <v>1856</v>
      </c>
      <c r="D855">
        <v>-3.5268950000000001</v>
      </c>
      <c r="E855">
        <v>2.7769089999999998</v>
      </c>
      <c r="F855">
        <v>-0.79669000000000001</v>
      </c>
      <c r="G855" s="154">
        <v>7.8156699999999999</v>
      </c>
    </row>
    <row r="856" spans="1:7" x14ac:dyDescent="0.25">
      <c r="A856" t="s">
        <v>111</v>
      </c>
      <c r="B856" t="s">
        <v>405</v>
      </c>
      <c r="C856" t="s">
        <v>1857</v>
      </c>
      <c r="D856">
        <v>-4.2546350000000004</v>
      </c>
      <c r="E856">
        <v>3.3990499999999999</v>
      </c>
      <c r="F856">
        <v>-0.95233769999999995</v>
      </c>
      <c r="G856" s="154">
        <v>7.5241540000000002</v>
      </c>
    </row>
    <row r="857" spans="1:7" x14ac:dyDescent="0.25">
      <c r="A857" t="s">
        <v>111</v>
      </c>
      <c r="B857" t="s">
        <v>405</v>
      </c>
      <c r="C857" t="s">
        <v>1858</v>
      </c>
      <c r="D857">
        <v>-3.5321069999999999</v>
      </c>
      <c r="E857">
        <v>3.2482280000000001</v>
      </c>
      <c r="F857">
        <v>-0.34508709999999998</v>
      </c>
      <c r="G857" s="154">
        <v>8.3246439999999993</v>
      </c>
    </row>
    <row r="858" spans="1:7" x14ac:dyDescent="0.25">
      <c r="A858" t="s">
        <v>111</v>
      </c>
      <c r="B858" t="s">
        <v>405</v>
      </c>
      <c r="C858" t="s">
        <v>1859</v>
      </c>
      <c r="D858">
        <v>-3.9644050000000002</v>
      </c>
      <c r="E858">
        <v>3.118992</v>
      </c>
      <c r="F858">
        <v>-0.90251650000000005</v>
      </c>
      <c r="G858" s="154">
        <v>7.6791410000000004</v>
      </c>
    </row>
    <row r="859" spans="1:7" x14ac:dyDescent="0.25">
      <c r="A859" t="s">
        <v>111</v>
      </c>
      <c r="B859" t="s">
        <v>405</v>
      </c>
      <c r="C859" t="s">
        <v>1860</v>
      </c>
      <c r="D859">
        <v>-4.6553870000000002</v>
      </c>
      <c r="E859">
        <v>3.5122599999999999</v>
      </c>
      <c r="F859">
        <v>-1.323693</v>
      </c>
      <c r="G859" s="154">
        <v>8.0749300000000002</v>
      </c>
    </row>
    <row r="860" spans="1:7" x14ac:dyDescent="0.25">
      <c r="A860" t="s">
        <v>111</v>
      </c>
      <c r="B860" t="s">
        <v>405</v>
      </c>
      <c r="C860" t="s">
        <v>1861</v>
      </c>
      <c r="D860">
        <v>-3.6178409999999999</v>
      </c>
      <c r="E860">
        <v>2.8437570000000001</v>
      </c>
      <c r="F860">
        <v>-0.86698260000000005</v>
      </c>
      <c r="G860" s="154">
        <v>8.0055960000000006</v>
      </c>
    </row>
    <row r="861" spans="1:7" x14ac:dyDescent="0.25">
      <c r="A861" t="s">
        <v>111</v>
      </c>
      <c r="B861" t="s">
        <v>405</v>
      </c>
      <c r="C861" t="s">
        <v>1862</v>
      </c>
      <c r="D861">
        <v>-3.644962</v>
      </c>
      <c r="E861">
        <v>2.822616</v>
      </c>
      <c r="F861">
        <v>-0.87679640000000003</v>
      </c>
      <c r="G861" s="154">
        <v>7.7062910000000002</v>
      </c>
    </row>
    <row r="862" spans="1:7" x14ac:dyDescent="0.25">
      <c r="A862" t="s">
        <v>111</v>
      </c>
      <c r="B862" t="s">
        <v>405</v>
      </c>
      <c r="C862" t="s">
        <v>1863</v>
      </c>
      <c r="D862">
        <v>-4.0805850000000001</v>
      </c>
      <c r="E862">
        <v>3.1945220000000001</v>
      </c>
      <c r="F862">
        <v>-0.95638820000000002</v>
      </c>
      <c r="G862" s="154">
        <v>7.2496929999999997</v>
      </c>
    </row>
    <row r="863" spans="1:7" x14ac:dyDescent="0.25">
      <c r="A863" t="s">
        <v>111</v>
      </c>
      <c r="B863" t="s">
        <v>405</v>
      </c>
      <c r="C863" t="s">
        <v>1864</v>
      </c>
      <c r="D863">
        <v>-4.3270439999999999</v>
      </c>
      <c r="E863">
        <v>3.1621459999999999</v>
      </c>
      <c r="F863">
        <v>-1.2761530000000001</v>
      </c>
      <c r="G863" s="154">
        <v>8.4376049999999996</v>
      </c>
    </row>
    <row r="864" spans="1:7" x14ac:dyDescent="0.25">
      <c r="A864" t="s">
        <v>111</v>
      </c>
      <c r="B864" t="s">
        <v>405</v>
      </c>
      <c r="C864" t="s">
        <v>1865</v>
      </c>
      <c r="D864">
        <v>-2.9050449999999999</v>
      </c>
      <c r="E864">
        <v>2.2146889999999999</v>
      </c>
      <c r="F864">
        <v>-0.76302040000000004</v>
      </c>
      <c r="G864" s="154">
        <v>8.5140189999999993</v>
      </c>
    </row>
    <row r="865" spans="1:7" x14ac:dyDescent="0.25">
      <c r="A865" t="s">
        <v>111</v>
      </c>
      <c r="B865" t="s">
        <v>405</v>
      </c>
      <c r="C865" t="s">
        <v>1866</v>
      </c>
      <c r="D865">
        <v>-3.6529729999999998</v>
      </c>
      <c r="E865">
        <v>2.9233129999999998</v>
      </c>
      <c r="F865">
        <v>-0.82617910000000006</v>
      </c>
      <c r="G865" s="154">
        <v>8.1849830000000008</v>
      </c>
    </row>
    <row r="866" spans="1:7" x14ac:dyDescent="0.25">
      <c r="A866" t="s">
        <v>111</v>
      </c>
      <c r="B866" t="s">
        <v>405</v>
      </c>
      <c r="C866" t="s">
        <v>1867</v>
      </c>
      <c r="D866">
        <v>-3.343102</v>
      </c>
      <c r="E866">
        <v>2.7244830000000002</v>
      </c>
      <c r="F866">
        <v>-0.76798409999999995</v>
      </c>
      <c r="G866" s="154">
        <v>8.6735450000000007</v>
      </c>
    </row>
    <row r="867" spans="1:7" x14ac:dyDescent="0.25">
      <c r="A867" t="s">
        <v>111</v>
      </c>
      <c r="B867" t="s">
        <v>405</v>
      </c>
      <c r="C867" t="s">
        <v>1868</v>
      </c>
      <c r="D867">
        <v>-4.2049570000000003</v>
      </c>
      <c r="E867">
        <v>3.1421039999999998</v>
      </c>
      <c r="F867">
        <v>-1.1883870000000001</v>
      </c>
      <c r="G867" s="154">
        <v>8.3068779999999993</v>
      </c>
    </row>
    <row r="868" spans="1:7" x14ac:dyDescent="0.25">
      <c r="A868" t="s">
        <v>111</v>
      </c>
      <c r="B868" t="s">
        <v>405</v>
      </c>
      <c r="C868" t="s">
        <v>1869</v>
      </c>
      <c r="D868">
        <v>-4.0123620000000004</v>
      </c>
      <c r="E868">
        <v>3.258874</v>
      </c>
      <c r="F868">
        <v>-0.79261369999999998</v>
      </c>
      <c r="G868" s="154">
        <v>7.6093890000000002</v>
      </c>
    </row>
    <row r="869" spans="1:7" x14ac:dyDescent="0.25">
      <c r="A869" t="s">
        <v>111</v>
      </c>
      <c r="B869" t="s">
        <v>405</v>
      </c>
      <c r="C869" t="s">
        <v>1870</v>
      </c>
      <c r="D869">
        <v>-3.6003959999999999</v>
      </c>
      <c r="E869">
        <v>2.964251</v>
      </c>
      <c r="F869">
        <v>-0.70417070000000004</v>
      </c>
      <c r="G869" s="154">
        <v>8.3713960000000007</v>
      </c>
    </row>
    <row r="870" spans="1:7" x14ac:dyDescent="0.25">
      <c r="A870" t="s">
        <v>111</v>
      </c>
      <c r="B870" t="s">
        <v>405</v>
      </c>
      <c r="C870" t="s">
        <v>1871</v>
      </c>
      <c r="D870">
        <v>-3.539037</v>
      </c>
      <c r="E870">
        <v>2.7514439999999998</v>
      </c>
      <c r="F870">
        <v>-0.8507093</v>
      </c>
      <c r="G870" s="154">
        <v>7.3176860000000001</v>
      </c>
    </row>
    <row r="871" spans="1:7" x14ac:dyDescent="0.25">
      <c r="A871" t="s">
        <v>111</v>
      </c>
      <c r="B871" t="s">
        <v>405</v>
      </c>
      <c r="C871" t="s">
        <v>1872</v>
      </c>
      <c r="D871">
        <v>-3.7217479999999998</v>
      </c>
      <c r="E871">
        <v>2.9789110000000001</v>
      </c>
      <c r="F871">
        <v>-0.80542990000000003</v>
      </c>
      <c r="G871" s="154">
        <v>7.7916970000000001</v>
      </c>
    </row>
    <row r="872" spans="1:7" x14ac:dyDescent="0.25">
      <c r="A872" t="s">
        <v>111</v>
      </c>
      <c r="B872" t="s">
        <v>405</v>
      </c>
      <c r="C872" t="s">
        <v>1873</v>
      </c>
      <c r="D872">
        <v>-3.6697129999999998</v>
      </c>
      <c r="E872">
        <v>2.8706900000000002</v>
      </c>
      <c r="F872">
        <v>-0.8914995</v>
      </c>
      <c r="G872" s="154">
        <v>7.6461490000000003</v>
      </c>
    </row>
    <row r="873" spans="1:7" x14ac:dyDescent="0.25">
      <c r="A873" t="s">
        <v>111</v>
      </c>
      <c r="B873" t="s">
        <v>405</v>
      </c>
      <c r="C873" t="s">
        <v>1874</v>
      </c>
      <c r="D873">
        <v>-3.6801089999999999</v>
      </c>
      <c r="E873">
        <v>2.818816</v>
      </c>
      <c r="F873">
        <v>-0.97948760000000001</v>
      </c>
      <c r="G873" s="154">
        <v>7.9505379999999999</v>
      </c>
    </row>
    <row r="874" spans="1:7" x14ac:dyDescent="0.25">
      <c r="A874" t="s">
        <v>111</v>
      </c>
      <c r="B874" t="s">
        <v>405</v>
      </c>
      <c r="C874" t="s">
        <v>1875</v>
      </c>
      <c r="D874">
        <v>-3.6837949999999999</v>
      </c>
      <c r="E874">
        <v>2.962304</v>
      </c>
      <c r="F874">
        <v>-0.78604359999999995</v>
      </c>
      <c r="G874" s="154">
        <v>7.9972859999999999</v>
      </c>
    </row>
    <row r="875" spans="1:7" x14ac:dyDescent="0.25">
      <c r="A875" t="s">
        <v>111</v>
      </c>
      <c r="B875" t="s">
        <v>405</v>
      </c>
      <c r="C875" t="s">
        <v>1876</v>
      </c>
      <c r="D875">
        <v>-4.0847689999999997</v>
      </c>
      <c r="E875">
        <v>3.1900909999999998</v>
      </c>
      <c r="F875">
        <v>-1.0303599999999999</v>
      </c>
      <c r="G875" s="154">
        <v>7.247617</v>
      </c>
    </row>
    <row r="876" spans="1:7" x14ac:dyDescent="0.25">
      <c r="A876" t="s">
        <v>111</v>
      </c>
      <c r="B876" t="s">
        <v>405</v>
      </c>
      <c r="C876" t="s">
        <v>1877</v>
      </c>
      <c r="D876">
        <v>-3.9823309999999998</v>
      </c>
      <c r="E876">
        <v>3.1860400000000002</v>
      </c>
      <c r="F876">
        <v>-0.88564750000000003</v>
      </c>
      <c r="G876" s="154">
        <v>7.4876240000000003</v>
      </c>
    </row>
    <row r="877" spans="1:7" x14ac:dyDescent="0.25">
      <c r="A877" t="s">
        <v>111</v>
      </c>
      <c r="B877" t="s">
        <v>405</v>
      </c>
      <c r="C877" t="s">
        <v>1878</v>
      </c>
      <c r="D877">
        <v>-3.5789339999999998</v>
      </c>
      <c r="E877">
        <v>2.8090579999999998</v>
      </c>
      <c r="F877">
        <v>-0.92505959999999998</v>
      </c>
      <c r="G877" s="154">
        <v>7.935346</v>
      </c>
    </row>
    <row r="878" spans="1:7" x14ac:dyDescent="0.25">
      <c r="A878" t="s">
        <v>111</v>
      </c>
      <c r="B878" t="s">
        <v>405</v>
      </c>
      <c r="C878" t="s">
        <v>1879</v>
      </c>
      <c r="D878">
        <v>-4.0306649999999999</v>
      </c>
      <c r="E878">
        <v>3.1886000000000001</v>
      </c>
      <c r="F878">
        <v>-0.89919280000000001</v>
      </c>
      <c r="G878" s="154">
        <v>7.635059</v>
      </c>
    </row>
    <row r="879" spans="1:7" x14ac:dyDescent="0.25">
      <c r="A879" t="s">
        <v>111</v>
      </c>
      <c r="B879" t="s">
        <v>405</v>
      </c>
      <c r="C879" t="s">
        <v>1880</v>
      </c>
      <c r="D879">
        <v>-3.1736650000000002</v>
      </c>
      <c r="E879">
        <v>2.6048079999999998</v>
      </c>
      <c r="F879">
        <v>-0.63864430000000005</v>
      </c>
      <c r="G879" s="154">
        <v>8.5700389999999995</v>
      </c>
    </row>
    <row r="880" spans="1:7" x14ac:dyDescent="0.25">
      <c r="A880" t="s">
        <v>111</v>
      </c>
      <c r="B880" t="s">
        <v>405</v>
      </c>
      <c r="C880" t="s">
        <v>1881</v>
      </c>
      <c r="D880">
        <v>-1.820398</v>
      </c>
      <c r="E880">
        <v>1.837572</v>
      </c>
      <c r="F880">
        <v>1.27341E-2</v>
      </c>
      <c r="G880" s="154">
        <v>9.9150100000000005</v>
      </c>
    </row>
    <row r="881" spans="1:7" x14ac:dyDescent="0.25">
      <c r="A881" t="s">
        <v>111</v>
      </c>
      <c r="B881" t="s">
        <v>405</v>
      </c>
      <c r="C881" t="s">
        <v>1882</v>
      </c>
      <c r="D881">
        <v>-3.829593</v>
      </c>
      <c r="E881">
        <v>2.5744020000000001</v>
      </c>
      <c r="F881">
        <v>-1.296033</v>
      </c>
      <c r="G881" s="154">
        <v>8.8197720000000004</v>
      </c>
    </row>
    <row r="882" spans="1:7" x14ac:dyDescent="0.25">
      <c r="A882" t="s">
        <v>111</v>
      </c>
      <c r="B882" t="s">
        <v>405</v>
      </c>
      <c r="C882" t="s">
        <v>1883</v>
      </c>
      <c r="D882">
        <v>-3.6227420000000001</v>
      </c>
      <c r="E882">
        <v>2.9746450000000002</v>
      </c>
      <c r="F882">
        <v>-0.69027240000000001</v>
      </c>
      <c r="G882" s="154">
        <v>8.3637320000000006</v>
      </c>
    </row>
    <row r="883" spans="1:7" x14ac:dyDescent="0.25">
      <c r="A883" t="s">
        <v>111</v>
      </c>
      <c r="B883" t="s">
        <v>405</v>
      </c>
      <c r="C883" t="s">
        <v>1884</v>
      </c>
      <c r="D883">
        <v>-3.6619760000000001</v>
      </c>
      <c r="E883">
        <v>3.003263</v>
      </c>
      <c r="F883">
        <v>-0.71058239999999995</v>
      </c>
      <c r="G883" s="154">
        <v>7.9091459999999998</v>
      </c>
    </row>
    <row r="884" spans="1:7" x14ac:dyDescent="0.25">
      <c r="A884" t="s">
        <v>111</v>
      </c>
      <c r="B884" t="s">
        <v>405</v>
      </c>
      <c r="C884" t="s">
        <v>1885</v>
      </c>
      <c r="D884">
        <v>-3.8090510000000002</v>
      </c>
      <c r="E884">
        <v>3.0425330000000002</v>
      </c>
      <c r="F884">
        <v>-0.84421840000000004</v>
      </c>
      <c r="G884" s="154">
        <v>7.6715520000000001</v>
      </c>
    </row>
    <row r="885" spans="1:7" x14ac:dyDescent="0.25">
      <c r="A885" t="s">
        <v>111</v>
      </c>
      <c r="B885" t="s">
        <v>405</v>
      </c>
      <c r="C885" t="s">
        <v>1886</v>
      </c>
      <c r="D885">
        <v>-2.842549</v>
      </c>
      <c r="E885">
        <v>2.049099</v>
      </c>
      <c r="F885">
        <v>-0.82557049999999998</v>
      </c>
      <c r="G885" s="154">
        <v>8.0508810000000004</v>
      </c>
    </row>
    <row r="886" spans="1:7" x14ac:dyDescent="0.25">
      <c r="A886" t="s">
        <v>111</v>
      </c>
      <c r="B886" t="s">
        <v>405</v>
      </c>
      <c r="C886" t="s">
        <v>1887</v>
      </c>
      <c r="D886">
        <v>-3.7578019999999999</v>
      </c>
      <c r="E886">
        <v>2.9048159999999998</v>
      </c>
      <c r="F886">
        <v>-0.91644400000000004</v>
      </c>
      <c r="G886" s="154">
        <v>7.8424659999999999</v>
      </c>
    </row>
    <row r="887" spans="1:7" x14ac:dyDescent="0.25">
      <c r="A887" t="s">
        <v>111</v>
      </c>
      <c r="B887" t="s">
        <v>405</v>
      </c>
      <c r="C887" t="s">
        <v>1888</v>
      </c>
      <c r="D887">
        <v>-3.9236580000000001</v>
      </c>
      <c r="E887">
        <v>3.150064</v>
      </c>
      <c r="F887">
        <v>-0.87275199999999997</v>
      </c>
      <c r="G887" s="154">
        <v>7.69726</v>
      </c>
    </row>
    <row r="888" spans="1:7" x14ac:dyDescent="0.25">
      <c r="A888" t="s">
        <v>111</v>
      </c>
      <c r="B888" t="s">
        <v>405</v>
      </c>
      <c r="C888" t="s">
        <v>1889</v>
      </c>
      <c r="D888">
        <v>-4.0083570000000002</v>
      </c>
      <c r="E888">
        <v>3.238016</v>
      </c>
      <c r="F888">
        <v>-0.91429510000000003</v>
      </c>
      <c r="G888" s="154">
        <v>7.6569539999999998</v>
      </c>
    </row>
    <row r="889" spans="1:7" x14ac:dyDescent="0.25">
      <c r="A889" t="s">
        <v>111</v>
      </c>
      <c r="B889" t="s">
        <v>405</v>
      </c>
      <c r="C889" t="s">
        <v>1890</v>
      </c>
      <c r="D889">
        <v>-4.0658570000000003</v>
      </c>
      <c r="E889">
        <v>3.184183</v>
      </c>
      <c r="F889">
        <v>-0.93830740000000001</v>
      </c>
      <c r="G889" s="154">
        <v>7.7154170000000004</v>
      </c>
    </row>
    <row r="890" spans="1:7" x14ac:dyDescent="0.25">
      <c r="A890" t="s">
        <v>111</v>
      </c>
      <c r="B890" t="s">
        <v>405</v>
      </c>
      <c r="C890" t="s">
        <v>1891</v>
      </c>
      <c r="D890">
        <v>-3.7337579999999999</v>
      </c>
      <c r="E890">
        <v>2.9710160000000001</v>
      </c>
      <c r="F890">
        <v>-0.79923750000000005</v>
      </c>
      <c r="G890" s="154">
        <v>7.406034</v>
      </c>
    </row>
    <row r="891" spans="1:7" x14ac:dyDescent="0.25">
      <c r="A891" t="s">
        <v>111</v>
      </c>
      <c r="B891" t="s">
        <v>405</v>
      </c>
      <c r="C891" t="s">
        <v>1892</v>
      </c>
      <c r="D891">
        <v>-3.4228049999999999</v>
      </c>
      <c r="E891">
        <v>2.6475469999999999</v>
      </c>
      <c r="F891">
        <v>-0.8202874</v>
      </c>
      <c r="G891" s="154">
        <v>8.3055350000000008</v>
      </c>
    </row>
    <row r="892" spans="1:7" x14ac:dyDescent="0.25">
      <c r="A892" t="s">
        <v>111</v>
      </c>
      <c r="B892" t="s">
        <v>405</v>
      </c>
      <c r="C892" t="s">
        <v>1893</v>
      </c>
      <c r="D892">
        <v>-3.7593260000000002</v>
      </c>
      <c r="E892">
        <v>2.9266920000000001</v>
      </c>
      <c r="F892">
        <v>-0.95238149999999999</v>
      </c>
      <c r="G892" s="154">
        <v>7.5487349999999998</v>
      </c>
    </row>
    <row r="893" spans="1:7" x14ac:dyDescent="0.25">
      <c r="A893" t="s">
        <v>111</v>
      </c>
      <c r="B893" t="s">
        <v>405</v>
      </c>
      <c r="C893" t="s">
        <v>1894</v>
      </c>
      <c r="D893">
        <v>-3.9030390000000001</v>
      </c>
      <c r="E893">
        <v>3.025763</v>
      </c>
      <c r="F893">
        <v>-0.93557380000000001</v>
      </c>
      <c r="G893" s="154">
        <v>7.4168580000000004</v>
      </c>
    </row>
    <row r="894" spans="1:7" x14ac:dyDescent="0.25">
      <c r="A894" t="s">
        <v>111</v>
      </c>
      <c r="B894" t="s">
        <v>405</v>
      </c>
      <c r="C894" t="s">
        <v>1895</v>
      </c>
      <c r="D894">
        <v>-3.970828</v>
      </c>
      <c r="E894">
        <v>3.0911029999999999</v>
      </c>
      <c r="F894">
        <v>-0.97916440000000005</v>
      </c>
      <c r="G894" s="154">
        <v>8.0234989999999993</v>
      </c>
    </row>
    <row r="895" spans="1:7" x14ac:dyDescent="0.25">
      <c r="A895" t="s">
        <v>111</v>
      </c>
      <c r="B895" t="s">
        <v>405</v>
      </c>
      <c r="C895" t="s">
        <v>1896</v>
      </c>
      <c r="D895">
        <v>-4.3439189999999996</v>
      </c>
      <c r="E895">
        <v>2.3107989999999998</v>
      </c>
      <c r="F895">
        <v>-2.0838239999999999</v>
      </c>
      <c r="G895" s="154">
        <v>7.7473470000000004</v>
      </c>
    </row>
    <row r="896" spans="1:7" x14ac:dyDescent="0.25">
      <c r="A896" t="s">
        <v>111</v>
      </c>
      <c r="B896" t="s">
        <v>405</v>
      </c>
      <c r="C896" t="s">
        <v>1897</v>
      </c>
      <c r="D896">
        <v>-3.0601479999999999</v>
      </c>
      <c r="E896">
        <v>1.996481</v>
      </c>
      <c r="F896">
        <v>-1.1966289999999999</v>
      </c>
      <c r="G896" s="154">
        <v>8.0944749999999992</v>
      </c>
    </row>
    <row r="897" spans="1:7" x14ac:dyDescent="0.25">
      <c r="A897" t="s">
        <v>111</v>
      </c>
      <c r="B897" t="s">
        <v>405</v>
      </c>
      <c r="C897" t="s">
        <v>1898</v>
      </c>
      <c r="D897">
        <v>-3.4406400000000001</v>
      </c>
      <c r="E897">
        <v>2.7531810000000001</v>
      </c>
      <c r="F897">
        <v>-0.77605360000000001</v>
      </c>
      <c r="G897" s="154">
        <v>7.6581299999999999</v>
      </c>
    </row>
    <row r="898" spans="1:7" x14ac:dyDescent="0.25">
      <c r="A898" t="s">
        <v>111</v>
      </c>
      <c r="B898" t="s">
        <v>405</v>
      </c>
      <c r="C898" t="s">
        <v>1899</v>
      </c>
      <c r="D898">
        <v>-3.9676209999999998</v>
      </c>
      <c r="E898">
        <v>3.2500529999999999</v>
      </c>
      <c r="F898">
        <v>-0.87173560000000005</v>
      </c>
      <c r="G898" s="154">
        <v>7.8232670000000004</v>
      </c>
    </row>
    <row r="899" spans="1:7" x14ac:dyDescent="0.25">
      <c r="A899" t="s">
        <v>111</v>
      </c>
      <c r="B899" t="s">
        <v>405</v>
      </c>
      <c r="C899" t="s">
        <v>1900</v>
      </c>
      <c r="D899">
        <v>-3.9711850000000002</v>
      </c>
      <c r="E899">
        <v>3.0681440000000002</v>
      </c>
      <c r="F899">
        <v>-0.97902250000000002</v>
      </c>
      <c r="G899" s="154">
        <v>7.811191</v>
      </c>
    </row>
    <row r="900" spans="1:7" x14ac:dyDescent="0.25">
      <c r="A900" t="s">
        <v>111</v>
      </c>
      <c r="B900" t="s">
        <v>405</v>
      </c>
      <c r="C900" t="s">
        <v>1901</v>
      </c>
      <c r="D900">
        <v>-4.1270559999999996</v>
      </c>
      <c r="E900">
        <v>3.2091120000000002</v>
      </c>
      <c r="F900">
        <v>-1.0153540000000001</v>
      </c>
      <c r="G900" s="154">
        <v>8.6184159999999999</v>
      </c>
    </row>
    <row r="901" spans="1:7" x14ac:dyDescent="0.25">
      <c r="A901" t="s">
        <v>111</v>
      </c>
      <c r="B901" t="s">
        <v>405</v>
      </c>
      <c r="C901" t="s">
        <v>1902</v>
      </c>
      <c r="D901">
        <v>-3.7809179999999998</v>
      </c>
      <c r="E901">
        <v>2.9299019999999998</v>
      </c>
      <c r="F901">
        <v>-0.94603649999999995</v>
      </c>
      <c r="G901" s="154">
        <v>8.105321</v>
      </c>
    </row>
    <row r="902" spans="1:7" x14ac:dyDescent="0.25">
      <c r="A902" t="s">
        <v>111</v>
      </c>
      <c r="B902" t="s">
        <v>405</v>
      </c>
      <c r="C902" t="s">
        <v>1903</v>
      </c>
      <c r="D902">
        <v>-3.5315940000000001</v>
      </c>
      <c r="E902">
        <v>2.689324</v>
      </c>
      <c r="F902">
        <v>-0.92973510000000004</v>
      </c>
      <c r="G902" s="154">
        <v>7.7078680000000004</v>
      </c>
    </row>
    <row r="903" spans="1:7" x14ac:dyDescent="0.25">
      <c r="A903" t="s">
        <v>111</v>
      </c>
      <c r="B903" t="s">
        <v>405</v>
      </c>
      <c r="C903" t="s">
        <v>1904</v>
      </c>
      <c r="D903">
        <v>-3.4758800000000001</v>
      </c>
      <c r="E903">
        <v>2.932617</v>
      </c>
      <c r="F903">
        <v>-0.65023609999999998</v>
      </c>
      <c r="G903" s="154">
        <v>8.0917949999999994</v>
      </c>
    </row>
    <row r="904" spans="1:7" x14ac:dyDescent="0.25">
      <c r="A904" t="s">
        <v>111</v>
      </c>
      <c r="B904" t="s">
        <v>405</v>
      </c>
      <c r="C904" t="s">
        <v>1905</v>
      </c>
      <c r="D904">
        <v>-3.3680300000000001</v>
      </c>
      <c r="E904">
        <v>2.6561870000000001</v>
      </c>
      <c r="F904">
        <v>-0.74486969999999997</v>
      </c>
      <c r="G904" s="154">
        <v>8.3704260000000001</v>
      </c>
    </row>
    <row r="905" spans="1:7" x14ac:dyDescent="0.25">
      <c r="A905" t="s">
        <v>111</v>
      </c>
      <c r="B905" t="s">
        <v>405</v>
      </c>
      <c r="C905" t="s">
        <v>1906</v>
      </c>
      <c r="D905">
        <v>-3.815185</v>
      </c>
      <c r="E905">
        <v>2.970704</v>
      </c>
      <c r="F905">
        <v>-0.91917309999999997</v>
      </c>
      <c r="G905" s="154">
        <v>8.0925650000000005</v>
      </c>
    </row>
    <row r="906" spans="1:7" x14ac:dyDescent="0.25">
      <c r="A906" t="s">
        <v>111</v>
      </c>
      <c r="B906" t="s">
        <v>405</v>
      </c>
      <c r="C906" t="s">
        <v>1907</v>
      </c>
      <c r="D906">
        <v>-3.6995840000000002</v>
      </c>
      <c r="E906">
        <v>2.9492560000000001</v>
      </c>
      <c r="F906">
        <v>-0.84819460000000002</v>
      </c>
      <c r="G906" s="154">
        <v>7.7952310000000002</v>
      </c>
    </row>
    <row r="907" spans="1:7" x14ac:dyDescent="0.25">
      <c r="A907" t="s">
        <v>111</v>
      </c>
      <c r="B907" t="s">
        <v>405</v>
      </c>
      <c r="C907" t="s">
        <v>1908</v>
      </c>
      <c r="D907">
        <v>-2.36774</v>
      </c>
      <c r="E907">
        <v>1.7578419999999999</v>
      </c>
      <c r="F907">
        <v>-0.61457189999999995</v>
      </c>
      <c r="G907" s="154">
        <v>9.6653079999999996</v>
      </c>
    </row>
    <row r="908" spans="1:7" x14ac:dyDescent="0.25">
      <c r="A908" t="s">
        <v>111</v>
      </c>
      <c r="B908" t="s">
        <v>405</v>
      </c>
      <c r="C908" t="s">
        <v>1909</v>
      </c>
      <c r="D908">
        <v>-3.8910100000000001</v>
      </c>
      <c r="E908">
        <v>3.2264729999999999</v>
      </c>
      <c r="F908">
        <v>-0.97422589999999998</v>
      </c>
      <c r="G908" s="154">
        <v>8.0012629999999998</v>
      </c>
    </row>
    <row r="909" spans="1:7" x14ac:dyDescent="0.25">
      <c r="A909" t="s">
        <v>111</v>
      </c>
      <c r="B909" t="s">
        <v>405</v>
      </c>
      <c r="C909" t="s">
        <v>1910</v>
      </c>
      <c r="D909">
        <v>-3.1664590000000001</v>
      </c>
      <c r="E909">
        <v>2.4004490000000001</v>
      </c>
      <c r="F909">
        <v>-0.79397439999999997</v>
      </c>
      <c r="G909" s="154">
        <v>7.7601129999999996</v>
      </c>
    </row>
    <row r="910" spans="1:7" x14ac:dyDescent="0.25">
      <c r="A910" t="s">
        <v>111</v>
      </c>
      <c r="B910" t="s">
        <v>405</v>
      </c>
      <c r="C910" t="s">
        <v>1911</v>
      </c>
      <c r="D910">
        <v>-4.0805530000000001</v>
      </c>
      <c r="E910">
        <v>3.1435819999999999</v>
      </c>
      <c r="F910">
        <v>-1.065755</v>
      </c>
      <c r="G910" s="154">
        <v>7.5394750000000004</v>
      </c>
    </row>
    <row r="911" spans="1:7" x14ac:dyDescent="0.25">
      <c r="A911" t="s">
        <v>111</v>
      </c>
      <c r="B911" t="s">
        <v>405</v>
      </c>
      <c r="C911" t="s">
        <v>1912</v>
      </c>
      <c r="D911">
        <v>-3.8303950000000002</v>
      </c>
      <c r="E911">
        <v>3.0031490000000001</v>
      </c>
      <c r="F911">
        <v>-0.8939705</v>
      </c>
      <c r="G911" s="154">
        <v>7.6297269999999999</v>
      </c>
    </row>
    <row r="912" spans="1:7" x14ac:dyDescent="0.25">
      <c r="A912" t="s">
        <v>111</v>
      </c>
      <c r="B912" t="s">
        <v>405</v>
      </c>
      <c r="C912" t="s">
        <v>1913</v>
      </c>
      <c r="D912">
        <v>-3.7243490000000001</v>
      </c>
      <c r="E912">
        <v>3.0724309999999999</v>
      </c>
      <c r="F912">
        <v>-0.74269779999999996</v>
      </c>
      <c r="G912" s="154">
        <v>8.5074710000000007</v>
      </c>
    </row>
    <row r="913" spans="1:7" x14ac:dyDescent="0.25">
      <c r="A913" t="s">
        <v>111</v>
      </c>
      <c r="B913" t="s">
        <v>405</v>
      </c>
      <c r="C913" t="s">
        <v>1914</v>
      </c>
      <c r="D913">
        <v>-3.6186829999999999</v>
      </c>
      <c r="E913">
        <v>2.8528120000000001</v>
      </c>
      <c r="F913">
        <v>-0.80849979999999999</v>
      </c>
      <c r="G913" s="154">
        <v>8.0004410000000004</v>
      </c>
    </row>
    <row r="914" spans="1:7" x14ac:dyDescent="0.25">
      <c r="A914" t="s">
        <v>111</v>
      </c>
      <c r="B914" t="s">
        <v>405</v>
      </c>
      <c r="C914" t="s">
        <v>1915</v>
      </c>
      <c r="D914">
        <v>-3.4183159999999999</v>
      </c>
      <c r="E914">
        <v>2.6683849999999998</v>
      </c>
      <c r="F914">
        <v>-0.80636249999999998</v>
      </c>
      <c r="G914" s="154">
        <v>8.3085489999999993</v>
      </c>
    </row>
    <row r="915" spans="1:7" x14ac:dyDescent="0.25">
      <c r="A915" t="s">
        <v>111</v>
      </c>
      <c r="B915" t="s">
        <v>405</v>
      </c>
      <c r="C915" t="s">
        <v>1916</v>
      </c>
      <c r="D915">
        <v>-3.732707</v>
      </c>
      <c r="E915">
        <v>3.0580039999999999</v>
      </c>
      <c r="F915">
        <v>-0.779308</v>
      </c>
      <c r="G915" s="154">
        <v>7.8370800000000003</v>
      </c>
    </row>
    <row r="916" spans="1:7" x14ac:dyDescent="0.25">
      <c r="A916" t="s">
        <v>111</v>
      </c>
      <c r="B916" t="s">
        <v>405</v>
      </c>
      <c r="C916" t="s">
        <v>1917</v>
      </c>
      <c r="D916">
        <v>-4.4345179999999997</v>
      </c>
      <c r="E916">
        <v>3.4488430000000001</v>
      </c>
      <c r="F916">
        <v>-1.158331</v>
      </c>
      <c r="G916" s="154">
        <v>7.8161750000000003</v>
      </c>
    </row>
    <row r="917" spans="1:7" x14ac:dyDescent="0.25">
      <c r="A917" t="s">
        <v>111</v>
      </c>
      <c r="B917" t="s">
        <v>405</v>
      </c>
      <c r="C917" t="s">
        <v>1918</v>
      </c>
      <c r="D917">
        <v>-3.4069199999999999</v>
      </c>
      <c r="E917">
        <v>2.5478779999999999</v>
      </c>
      <c r="F917">
        <v>-0.94252769999999997</v>
      </c>
      <c r="G917" s="154">
        <v>7.714753</v>
      </c>
    </row>
    <row r="918" spans="1:7" x14ac:dyDescent="0.25">
      <c r="A918" t="s">
        <v>111</v>
      </c>
      <c r="B918" t="s">
        <v>405</v>
      </c>
      <c r="C918" t="s">
        <v>1919</v>
      </c>
      <c r="D918">
        <v>-3.4901249999999999</v>
      </c>
      <c r="E918">
        <v>2.944836</v>
      </c>
      <c r="F918">
        <v>-0.58841410000000005</v>
      </c>
      <c r="G918" s="154">
        <v>8.4185079999999992</v>
      </c>
    </row>
    <row r="919" spans="1:7" x14ac:dyDescent="0.25">
      <c r="A919" t="s">
        <v>111</v>
      </c>
      <c r="B919" t="s">
        <v>405</v>
      </c>
      <c r="C919" t="s">
        <v>1920</v>
      </c>
      <c r="D919">
        <v>-3.6651579999999999</v>
      </c>
      <c r="E919">
        <v>2.8973</v>
      </c>
      <c r="F919">
        <v>-0.8140039</v>
      </c>
      <c r="G919" s="154">
        <v>7.8410489999999999</v>
      </c>
    </row>
    <row r="920" spans="1:7" x14ac:dyDescent="0.25">
      <c r="A920" t="s">
        <v>111</v>
      </c>
      <c r="B920" t="s">
        <v>405</v>
      </c>
      <c r="C920" t="s">
        <v>1921</v>
      </c>
      <c r="D920">
        <v>-3.8238189999999999</v>
      </c>
      <c r="E920">
        <v>2.9637169999999999</v>
      </c>
      <c r="F920">
        <v>-0.92608820000000003</v>
      </c>
      <c r="G920" s="154">
        <v>7.8084470000000001</v>
      </c>
    </row>
    <row r="921" spans="1:7" x14ac:dyDescent="0.25">
      <c r="A921" t="s">
        <v>111</v>
      </c>
      <c r="B921" t="s">
        <v>405</v>
      </c>
      <c r="C921" t="s">
        <v>1922</v>
      </c>
      <c r="D921">
        <v>-3.7736809999999998</v>
      </c>
      <c r="E921">
        <v>3.0280480000000001</v>
      </c>
      <c r="F921">
        <v>-0.80913469999999998</v>
      </c>
      <c r="G921" s="154">
        <v>7.8026939999999998</v>
      </c>
    </row>
    <row r="922" spans="1:7" x14ac:dyDescent="0.25">
      <c r="A922" t="s">
        <v>111</v>
      </c>
      <c r="B922" t="s">
        <v>405</v>
      </c>
      <c r="C922" t="s">
        <v>1923</v>
      </c>
      <c r="D922">
        <v>-3.9013939999999998</v>
      </c>
      <c r="E922">
        <v>3.085537</v>
      </c>
      <c r="F922">
        <v>-0.89266769999999995</v>
      </c>
      <c r="G922" s="154">
        <v>8.0943210000000008</v>
      </c>
    </row>
    <row r="923" spans="1:7" x14ac:dyDescent="0.25">
      <c r="A923" t="s">
        <v>111</v>
      </c>
      <c r="B923" t="s">
        <v>405</v>
      </c>
      <c r="C923" t="s">
        <v>1924</v>
      </c>
      <c r="D923">
        <v>-3.5965889999999998</v>
      </c>
      <c r="E923">
        <v>2.85568</v>
      </c>
      <c r="F923">
        <v>-0.80652829999999998</v>
      </c>
      <c r="G923" s="154">
        <v>7.620539</v>
      </c>
    </row>
    <row r="924" spans="1:7" x14ac:dyDescent="0.25">
      <c r="A924" t="s">
        <v>111</v>
      </c>
      <c r="B924" t="s">
        <v>405</v>
      </c>
      <c r="C924" t="s">
        <v>1925</v>
      </c>
      <c r="D924">
        <v>-3.7249430000000001</v>
      </c>
      <c r="E924">
        <v>2.8595519999999999</v>
      </c>
      <c r="F924">
        <v>-0.93506840000000002</v>
      </c>
      <c r="G924" s="154">
        <v>8.0397239999999996</v>
      </c>
    </row>
    <row r="925" spans="1:7" x14ac:dyDescent="0.25">
      <c r="A925" t="s">
        <v>111</v>
      </c>
      <c r="B925" t="s">
        <v>405</v>
      </c>
      <c r="C925" t="s">
        <v>1926</v>
      </c>
      <c r="D925">
        <v>-3.3991449999999999</v>
      </c>
      <c r="E925">
        <v>2.6925080000000001</v>
      </c>
      <c r="F925">
        <v>-0.75440099999999999</v>
      </c>
      <c r="G925" s="154">
        <v>7.8151200000000003</v>
      </c>
    </row>
    <row r="926" spans="1:7" x14ac:dyDescent="0.25">
      <c r="A926" t="s">
        <v>69</v>
      </c>
      <c r="B926" t="s">
        <v>412</v>
      </c>
      <c r="C926" t="s">
        <v>1927</v>
      </c>
      <c r="D926">
        <v>-6.7340439999999999</v>
      </c>
      <c r="E926">
        <v>3.4525429999999999</v>
      </c>
      <c r="F926">
        <v>-3.281501</v>
      </c>
      <c r="G926" s="154">
        <v>3.0187469999999998</v>
      </c>
    </row>
    <row r="927" spans="1:7" x14ac:dyDescent="0.25">
      <c r="A927" t="s">
        <v>69</v>
      </c>
      <c r="B927" t="s">
        <v>412</v>
      </c>
      <c r="C927" t="s">
        <v>1928</v>
      </c>
      <c r="D927">
        <v>-9.052467</v>
      </c>
      <c r="E927">
        <v>1.8874709999999999</v>
      </c>
      <c r="F927">
        <v>-7.1649969999999996</v>
      </c>
      <c r="G927" s="154">
        <v>0.43707839999999998</v>
      </c>
    </row>
    <row r="928" spans="1:7" x14ac:dyDescent="0.25">
      <c r="A928" t="s">
        <v>69</v>
      </c>
      <c r="B928" t="s">
        <v>412</v>
      </c>
      <c r="C928" t="s">
        <v>1929</v>
      </c>
      <c r="D928">
        <v>-12.926209999999999</v>
      </c>
      <c r="E928">
        <v>4.5503619999999998</v>
      </c>
      <c r="F928">
        <v>-8.3758510000000008</v>
      </c>
      <c r="G928" s="154">
        <v>0.76431039999999995</v>
      </c>
    </row>
    <row r="929" spans="1:7" x14ac:dyDescent="0.25">
      <c r="A929" t="s">
        <v>69</v>
      </c>
      <c r="B929" t="s">
        <v>412</v>
      </c>
      <c r="C929" t="s">
        <v>1930</v>
      </c>
      <c r="F929">
        <v>-3.1440260000000002</v>
      </c>
      <c r="G929" s="154">
        <v>1.0713459999999999</v>
      </c>
    </row>
    <row r="930" spans="1:7" x14ac:dyDescent="0.25">
      <c r="A930" t="s">
        <v>69</v>
      </c>
      <c r="B930" t="s">
        <v>412</v>
      </c>
      <c r="C930" t="s">
        <v>1931</v>
      </c>
      <c r="D930">
        <v>-11.336</v>
      </c>
      <c r="G930" s="154">
        <v>1.3170710000000001</v>
      </c>
    </row>
    <row r="931" spans="1:7" x14ac:dyDescent="0.25">
      <c r="A931" t="s">
        <v>239</v>
      </c>
      <c r="B931" t="s">
        <v>321</v>
      </c>
      <c r="C931" t="s">
        <v>1932</v>
      </c>
      <c r="D931">
        <v>-4.0303820000000004</v>
      </c>
      <c r="E931">
        <v>0.76633130000000005</v>
      </c>
      <c r="F931">
        <v>-3.2640500000000001</v>
      </c>
      <c r="G931" s="154">
        <v>7.5570880000000002</v>
      </c>
    </row>
    <row r="932" spans="1:7" x14ac:dyDescent="0.25">
      <c r="A932" t="s">
        <v>239</v>
      </c>
      <c r="B932" t="s">
        <v>321</v>
      </c>
      <c r="C932" t="s">
        <v>1933</v>
      </c>
      <c r="D932">
        <v>-4.0721410000000002</v>
      </c>
      <c r="E932">
        <v>0.67643799999999998</v>
      </c>
      <c r="F932">
        <v>-3.3957030000000001</v>
      </c>
      <c r="G932" s="154">
        <v>7.3548920000000004</v>
      </c>
    </row>
    <row r="933" spans="1:7" x14ac:dyDescent="0.25">
      <c r="A933" t="s">
        <v>239</v>
      </c>
      <c r="B933" t="s">
        <v>321</v>
      </c>
      <c r="C933" t="s">
        <v>1934</v>
      </c>
      <c r="D933">
        <v>-3.9633349999999998</v>
      </c>
      <c r="E933">
        <v>0.70338590000000001</v>
      </c>
      <c r="F933">
        <v>-3.2599490000000002</v>
      </c>
      <c r="G933" s="154">
        <v>7.5324520000000001</v>
      </c>
    </row>
    <row r="934" spans="1:7" x14ac:dyDescent="0.25">
      <c r="A934" t="s">
        <v>239</v>
      </c>
      <c r="B934" t="s">
        <v>321</v>
      </c>
      <c r="C934" t="s">
        <v>1935</v>
      </c>
      <c r="D934">
        <v>-3.9135420000000001</v>
      </c>
      <c r="E934">
        <v>0.69835709999999995</v>
      </c>
      <c r="F934">
        <v>-3.2151839999999998</v>
      </c>
      <c r="G934" s="154">
        <v>7.5808150000000003</v>
      </c>
    </row>
    <row r="935" spans="1:7" x14ac:dyDescent="0.25">
      <c r="A935" t="s">
        <v>239</v>
      </c>
      <c r="B935" t="s">
        <v>321</v>
      </c>
      <c r="C935" t="s">
        <v>1785</v>
      </c>
      <c r="D935">
        <v>-3.6978559999999998</v>
      </c>
      <c r="E935">
        <v>1.9192260000000001</v>
      </c>
      <c r="F935">
        <v>-1.7786299999999999</v>
      </c>
      <c r="G935" s="154">
        <v>8.8800500000000007</v>
      </c>
    </row>
    <row r="936" spans="1:7" x14ac:dyDescent="0.25">
      <c r="A936" t="s">
        <v>239</v>
      </c>
      <c r="B936" t="s">
        <v>321</v>
      </c>
      <c r="C936" t="s">
        <v>1936</v>
      </c>
      <c r="D936">
        <v>-3.7591559999999999</v>
      </c>
      <c r="E936">
        <v>1.3758440000000001</v>
      </c>
      <c r="F936">
        <v>-2.3833129999999998</v>
      </c>
      <c r="G936" s="154">
        <v>7.6559210000000002</v>
      </c>
    </row>
    <row r="937" spans="1:7" x14ac:dyDescent="0.25">
      <c r="A937" t="s">
        <v>239</v>
      </c>
      <c r="B937" t="s">
        <v>321</v>
      </c>
      <c r="C937" t="s">
        <v>1937</v>
      </c>
      <c r="D937">
        <v>-4.0427609999999996</v>
      </c>
      <c r="E937">
        <v>0.85034509999999996</v>
      </c>
      <c r="F937">
        <v>-3.1924160000000001</v>
      </c>
      <c r="G937" s="154">
        <v>7.1852859999999996</v>
      </c>
    </row>
    <row r="938" spans="1:7" x14ac:dyDescent="0.25">
      <c r="A938" t="s">
        <v>239</v>
      </c>
      <c r="B938" t="s">
        <v>321</v>
      </c>
      <c r="C938" t="s">
        <v>1938</v>
      </c>
      <c r="D938">
        <v>-3.889643</v>
      </c>
      <c r="E938">
        <v>0.53586860000000003</v>
      </c>
      <c r="F938">
        <v>-3.3537750000000002</v>
      </c>
      <c r="G938" s="154">
        <v>7.3977250000000003</v>
      </c>
    </row>
    <row r="939" spans="1:7" x14ac:dyDescent="0.25">
      <c r="A939" t="s">
        <v>239</v>
      </c>
      <c r="B939" t="s">
        <v>321</v>
      </c>
      <c r="C939" t="s">
        <v>1939</v>
      </c>
      <c r="D939">
        <v>-3.6059809999999999</v>
      </c>
      <c r="E939">
        <v>1.014751</v>
      </c>
      <c r="F939">
        <v>-2.5912299999999999</v>
      </c>
      <c r="G939" s="154">
        <v>8.3880230000000005</v>
      </c>
    </row>
    <row r="940" spans="1:7" x14ac:dyDescent="0.25">
      <c r="A940" t="s">
        <v>239</v>
      </c>
      <c r="B940" t="s">
        <v>321</v>
      </c>
      <c r="C940" t="s">
        <v>1940</v>
      </c>
      <c r="D940">
        <v>-3.4470019999999999</v>
      </c>
      <c r="E940">
        <v>1.635451</v>
      </c>
      <c r="F940">
        <v>-1.81155</v>
      </c>
      <c r="G940" s="154">
        <v>9.4580120000000001</v>
      </c>
    </row>
    <row r="941" spans="1:7" x14ac:dyDescent="0.25">
      <c r="A941" t="s">
        <v>239</v>
      </c>
      <c r="B941" t="s">
        <v>321</v>
      </c>
      <c r="C941" t="s">
        <v>1941</v>
      </c>
      <c r="D941">
        <v>-3.7578230000000001</v>
      </c>
      <c r="E941">
        <v>0.67527910000000002</v>
      </c>
      <c r="F941">
        <v>-3.082544</v>
      </c>
      <c r="G941" s="154">
        <v>7.9121940000000004</v>
      </c>
    </row>
    <row r="942" spans="1:7" x14ac:dyDescent="0.25">
      <c r="A942" t="s">
        <v>239</v>
      </c>
      <c r="B942" t="s">
        <v>321</v>
      </c>
      <c r="C942" t="s">
        <v>1942</v>
      </c>
      <c r="D942">
        <v>-3.4964620000000002</v>
      </c>
      <c r="E942">
        <v>1.0148980000000001</v>
      </c>
      <c r="F942">
        <v>-2.4815640000000001</v>
      </c>
      <c r="G942" s="154">
        <v>8.1516870000000008</v>
      </c>
    </row>
    <row r="943" spans="1:7" x14ac:dyDescent="0.25">
      <c r="A943" t="s">
        <v>239</v>
      </c>
      <c r="B943" t="s">
        <v>321</v>
      </c>
      <c r="C943" t="s">
        <v>1943</v>
      </c>
      <c r="D943">
        <v>-3.8023739999999999</v>
      </c>
      <c r="E943">
        <v>0.95862230000000004</v>
      </c>
      <c r="F943">
        <v>-2.8437519999999998</v>
      </c>
      <c r="G943" s="154">
        <v>7.7511289999999997</v>
      </c>
    </row>
    <row r="944" spans="1:7" x14ac:dyDescent="0.25">
      <c r="A944" t="s">
        <v>239</v>
      </c>
      <c r="B944" t="s">
        <v>321</v>
      </c>
      <c r="C944" t="s">
        <v>1944</v>
      </c>
      <c r="D944">
        <v>-3.5958009999999998</v>
      </c>
      <c r="E944">
        <v>0.65595919999999996</v>
      </c>
      <c r="F944">
        <v>-2.9398420000000001</v>
      </c>
      <c r="G944" s="154">
        <v>7.9493340000000003</v>
      </c>
    </row>
    <row r="945" spans="1:7" x14ac:dyDescent="0.25">
      <c r="B945" t="s">
        <v>413</v>
      </c>
      <c r="C945" t="s">
        <v>1945</v>
      </c>
      <c r="E945">
        <v>2.4967459999999999</v>
      </c>
      <c r="F945">
        <v>-1.556287</v>
      </c>
      <c r="G945" s="154">
        <v>7.5348319999999998</v>
      </c>
    </row>
    <row r="946" spans="1:7" x14ac:dyDescent="0.25">
      <c r="A946" t="s">
        <v>234</v>
      </c>
      <c r="B946" t="s">
        <v>413</v>
      </c>
      <c r="C946" t="s">
        <v>1946</v>
      </c>
      <c r="E946">
        <v>2.3458380000000001</v>
      </c>
      <c r="F946">
        <v>-4.5214100000000004</v>
      </c>
      <c r="G946" s="154">
        <v>8.4349100000000004</v>
      </c>
    </row>
    <row r="947" spans="1:7" x14ac:dyDescent="0.25">
      <c r="A947" t="s">
        <v>145</v>
      </c>
      <c r="B947" t="s">
        <v>419</v>
      </c>
      <c r="C947" t="s">
        <v>1947</v>
      </c>
      <c r="D947">
        <v>-4.0626199999999999</v>
      </c>
      <c r="E947">
        <v>1.8771720000000001</v>
      </c>
      <c r="F947">
        <v>-1.295731</v>
      </c>
      <c r="G947" s="154">
        <v>10.40361</v>
      </c>
    </row>
    <row r="948" spans="1:7" x14ac:dyDescent="0.25">
      <c r="A948" t="s">
        <v>169</v>
      </c>
      <c r="B948" t="s">
        <v>427</v>
      </c>
      <c r="C948" t="s">
        <v>1948</v>
      </c>
      <c r="D948">
        <v>-4.8975429999999998</v>
      </c>
      <c r="E948">
        <v>1.5087619999999999</v>
      </c>
      <c r="F948">
        <v>-2.601766</v>
      </c>
      <c r="G948" s="154">
        <v>11.341839999999999</v>
      </c>
    </row>
    <row r="949" spans="1:7" x14ac:dyDescent="0.25">
      <c r="A949" t="s">
        <v>169</v>
      </c>
      <c r="B949" t="s">
        <v>427</v>
      </c>
      <c r="C949" t="s">
        <v>1949</v>
      </c>
      <c r="D949">
        <v>-4.8845840000000003</v>
      </c>
      <c r="E949">
        <v>1.622471</v>
      </c>
      <c r="F949">
        <v>-2.248812</v>
      </c>
      <c r="G949" s="154">
        <v>11.110200000000001</v>
      </c>
    </row>
    <row r="950" spans="1:7" x14ac:dyDescent="0.25">
      <c r="A950" t="s">
        <v>169</v>
      </c>
      <c r="B950" t="s">
        <v>427</v>
      </c>
      <c r="C950" t="s">
        <v>1950</v>
      </c>
      <c r="D950">
        <v>-5.03728</v>
      </c>
      <c r="E950">
        <v>1.623796</v>
      </c>
      <c r="F950">
        <v>-2.3835410000000001</v>
      </c>
      <c r="G950" s="154">
        <v>11.67984</v>
      </c>
    </row>
    <row r="951" spans="1:7" x14ac:dyDescent="0.25">
      <c r="A951" t="s">
        <v>169</v>
      </c>
      <c r="B951" t="s">
        <v>427</v>
      </c>
      <c r="C951" t="s">
        <v>1951</v>
      </c>
      <c r="D951">
        <v>-4.9872360000000002</v>
      </c>
      <c r="E951">
        <v>1.6089500000000001</v>
      </c>
      <c r="F951">
        <v>-2.616304</v>
      </c>
      <c r="G951" s="154">
        <v>11.999219999999999</v>
      </c>
    </row>
    <row r="952" spans="1:7" x14ac:dyDescent="0.25">
      <c r="A952" t="s">
        <v>169</v>
      </c>
      <c r="B952" t="s">
        <v>427</v>
      </c>
      <c r="C952" t="s">
        <v>1952</v>
      </c>
      <c r="D952">
        <v>-4.6457670000000002</v>
      </c>
      <c r="E952">
        <v>1.732267</v>
      </c>
      <c r="F952">
        <v>-2.009112</v>
      </c>
      <c r="G952" s="154">
        <v>10.64912</v>
      </c>
    </row>
    <row r="953" spans="1:7" x14ac:dyDescent="0.25">
      <c r="A953" t="s">
        <v>169</v>
      </c>
      <c r="B953" t="s">
        <v>427</v>
      </c>
      <c r="C953" t="s">
        <v>1953</v>
      </c>
      <c r="D953">
        <v>-5.0346669999999998</v>
      </c>
      <c r="E953">
        <v>1.505509</v>
      </c>
      <c r="F953">
        <v>-2.8662290000000001</v>
      </c>
      <c r="G953" s="154">
        <v>12.026859999999999</v>
      </c>
    </row>
    <row r="954" spans="1:7" x14ac:dyDescent="0.25">
      <c r="A954" t="s">
        <v>169</v>
      </c>
      <c r="B954" t="s">
        <v>427</v>
      </c>
      <c r="C954" t="s">
        <v>1954</v>
      </c>
      <c r="D954">
        <v>-4.9983079999999998</v>
      </c>
      <c r="E954">
        <v>1.526254</v>
      </c>
      <c r="F954">
        <v>-2.4485570000000001</v>
      </c>
      <c r="G954" s="154">
        <v>10.807029999999999</v>
      </c>
    </row>
    <row r="955" spans="1:7" x14ac:dyDescent="0.25">
      <c r="A955" t="s">
        <v>169</v>
      </c>
      <c r="B955" t="s">
        <v>427</v>
      </c>
      <c r="C955" t="s">
        <v>1955</v>
      </c>
      <c r="D955">
        <v>-4.9009470000000004</v>
      </c>
      <c r="E955">
        <v>1.6116090000000001</v>
      </c>
      <c r="F955">
        <v>-2.265952</v>
      </c>
      <c r="G955" s="154">
        <v>11.714359999999999</v>
      </c>
    </row>
    <row r="956" spans="1:7" x14ac:dyDescent="0.25">
      <c r="A956" t="s">
        <v>93</v>
      </c>
      <c r="B956" t="s">
        <v>429</v>
      </c>
      <c r="C956" t="s">
        <v>1956</v>
      </c>
      <c r="D956">
        <v>-4.9491230000000002</v>
      </c>
      <c r="E956">
        <v>3.365135</v>
      </c>
      <c r="F956">
        <v>-1.583988</v>
      </c>
      <c r="G956" s="154">
        <v>3.804932</v>
      </c>
    </row>
    <row r="957" spans="1:7" x14ac:dyDescent="0.25">
      <c r="A957" t="s">
        <v>93</v>
      </c>
      <c r="B957" t="s">
        <v>429</v>
      </c>
      <c r="C957" t="s">
        <v>1957</v>
      </c>
      <c r="D957">
        <v>-4.9359970000000004</v>
      </c>
      <c r="E957">
        <v>3.7663479999999998</v>
      </c>
      <c r="F957">
        <v>-1.169648</v>
      </c>
      <c r="G957" s="154">
        <v>5.7133330000000004</v>
      </c>
    </row>
    <row r="958" spans="1:7" x14ac:dyDescent="0.25">
      <c r="A958" t="s">
        <v>93</v>
      </c>
      <c r="B958" t="s">
        <v>429</v>
      </c>
      <c r="C958" t="s">
        <v>1958</v>
      </c>
      <c r="D958">
        <v>-6.1665890000000001</v>
      </c>
      <c r="E958">
        <v>4.1595769999999996</v>
      </c>
      <c r="F958">
        <v>-2.0070109999999999</v>
      </c>
      <c r="G958" s="154">
        <v>3.588813</v>
      </c>
    </row>
    <row r="959" spans="1:7" x14ac:dyDescent="0.25">
      <c r="A959" t="s">
        <v>93</v>
      </c>
      <c r="B959" t="s">
        <v>429</v>
      </c>
      <c r="C959" t="s">
        <v>1959</v>
      </c>
      <c r="D959">
        <v>-5.3261419999999999</v>
      </c>
      <c r="E959">
        <v>3.8170869999999999</v>
      </c>
      <c r="F959">
        <v>-1.509055</v>
      </c>
      <c r="G959" s="154">
        <v>4.4605889999999997</v>
      </c>
    </row>
    <row r="960" spans="1:7" x14ac:dyDescent="0.25">
      <c r="A960" t="s">
        <v>93</v>
      </c>
      <c r="B960" t="s">
        <v>429</v>
      </c>
      <c r="C960" t="s">
        <v>1960</v>
      </c>
      <c r="D960">
        <v>-6.1088639999999996</v>
      </c>
      <c r="E960">
        <v>4.1594329999999999</v>
      </c>
      <c r="F960">
        <v>-1.9494309999999999</v>
      </c>
      <c r="G960" s="154">
        <v>3.5066799999999998</v>
      </c>
    </row>
    <row r="961" spans="1:7" x14ac:dyDescent="0.25">
      <c r="A961" t="s">
        <v>93</v>
      </c>
      <c r="B961" t="s">
        <v>429</v>
      </c>
      <c r="C961" t="s">
        <v>1961</v>
      </c>
      <c r="D961">
        <v>-5.3054500000000004</v>
      </c>
      <c r="E961">
        <v>3.8860890000000001</v>
      </c>
      <c r="F961">
        <v>-1.4193610000000001</v>
      </c>
      <c r="G961" s="154">
        <v>4.9205240000000003</v>
      </c>
    </row>
    <row r="962" spans="1:7" x14ac:dyDescent="0.25">
      <c r="A962" t="s">
        <v>93</v>
      </c>
      <c r="B962" t="s">
        <v>429</v>
      </c>
      <c r="C962" t="s">
        <v>1962</v>
      </c>
      <c r="D962">
        <v>-5.571148</v>
      </c>
      <c r="E962">
        <v>3.794057</v>
      </c>
      <c r="F962">
        <v>-1.777091</v>
      </c>
      <c r="G962" s="154">
        <v>3.8402090000000002</v>
      </c>
    </row>
    <row r="963" spans="1:7" x14ac:dyDescent="0.25">
      <c r="A963" t="s">
        <v>93</v>
      </c>
      <c r="B963" t="s">
        <v>429</v>
      </c>
      <c r="C963" t="s">
        <v>1963</v>
      </c>
      <c r="D963">
        <v>-5.3628210000000003</v>
      </c>
      <c r="E963">
        <v>4.12765</v>
      </c>
      <c r="F963">
        <v>-1.235171</v>
      </c>
      <c r="G963" s="154">
        <v>5.7236450000000003</v>
      </c>
    </row>
    <row r="964" spans="1:7" x14ac:dyDescent="0.25">
      <c r="A964" t="s">
        <v>93</v>
      </c>
      <c r="B964" t="s">
        <v>429</v>
      </c>
      <c r="C964" t="s">
        <v>1964</v>
      </c>
      <c r="D964">
        <v>-5.9458289999999998</v>
      </c>
      <c r="E964">
        <v>4.3951710000000004</v>
      </c>
      <c r="F964">
        <v>-1.5506580000000001</v>
      </c>
      <c r="G964" s="154">
        <v>4.168539</v>
      </c>
    </row>
    <row r="965" spans="1:7" x14ac:dyDescent="0.25">
      <c r="A965" t="s">
        <v>93</v>
      </c>
      <c r="B965" t="s">
        <v>429</v>
      </c>
      <c r="C965" t="s">
        <v>1965</v>
      </c>
      <c r="D965">
        <v>-6.1252740000000001</v>
      </c>
      <c r="E965">
        <v>4.0963339999999997</v>
      </c>
      <c r="F965">
        <v>-2.02894</v>
      </c>
      <c r="G965" s="154">
        <v>3.0796299999999999</v>
      </c>
    </row>
    <row r="966" spans="1:7" x14ac:dyDescent="0.25">
      <c r="A966" t="s">
        <v>93</v>
      </c>
      <c r="B966" t="s">
        <v>429</v>
      </c>
      <c r="C966" t="s">
        <v>1966</v>
      </c>
      <c r="D966">
        <v>-4.8872350000000004</v>
      </c>
      <c r="E966">
        <v>3.5383779999999998</v>
      </c>
      <c r="F966">
        <v>-1.348857</v>
      </c>
      <c r="G966" s="154">
        <v>4.8356529999999998</v>
      </c>
    </row>
    <row r="967" spans="1:7" x14ac:dyDescent="0.25">
      <c r="A967" t="s">
        <v>93</v>
      </c>
      <c r="B967" t="s">
        <v>429</v>
      </c>
      <c r="C967" t="s">
        <v>1967</v>
      </c>
      <c r="D967">
        <v>-5.8597760000000001</v>
      </c>
      <c r="E967">
        <v>4.1783780000000004</v>
      </c>
      <c r="F967">
        <v>-1.6813990000000001</v>
      </c>
      <c r="G967" s="154">
        <v>4.5886469999999999</v>
      </c>
    </row>
    <row r="968" spans="1:7" x14ac:dyDescent="0.25">
      <c r="A968" t="s">
        <v>93</v>
      </c>
      <c r="B968" t="s">
        <v>429</v>
      </c>
      <c r="C968" t="s">
        <v>1968</v>
      </c>
      <c r="D968">
        <v>-5.4144990000000002</v>
      </c>
      <c r="E968">
        <v>3.8840849999999998</v>
      </c>
      <c r="F968">
        <v>-1.530413</v>
      </c>
      <c r="G968" s="154">
        <v>5.6340820000000003</v>
      </c>
    </row>
    <row r="969" spans="1:7" x14ac:dyDescent="0.25">
      <c r="A969" t="s">
        <v>93</v>
      </c>
      <c r="B969" t="s">
        <v>429</v>
      </c>
      <c r="C969" t="s">
        <v>1969</v>
      </c>
      <c r="D969">
        <v>-5.33908</v>
      </c>
      <c r="E969">
        <v>4.0682669999999996</v>
      </c>
      <c r="F969">
        <v>-1.270813</v>
      </c>
      <c r="G969" s="154">
        <v>5.3669419999999999</v>
      </c>
    </row>
    <row r="970" spans="1:7" x14ac:dyDescent="0.25">
      <c r="A970" t="s">
        <v>117</v>
      </c>
      <c r="B970" t="s">
        <v>432</v>
      </c>
      <c r="C970" t="s">
        <v>1970</v>
      </c>
      <c r="D970">
        <v>-4.8461610000000004</v>
      </c>
      <c r="E970">
        <v>3.37642</v>
      </c>
      <c r="F970">
        <v>-1.469741</v>
      </c>
      <c r="G970" s="154">
        <v>7.0780810000000001</v>
      </c>
    </row>
    <row r="971" spans="1:7" x14ac:dyDescent="0.25">
      <c r="A971" t="s">
        <v>117</v>
      </c>
      <c r="B971" t="s">
        <v>432</v>
      </c>
      <c r="C971" t="s">
        <v>1371</v>
      </c>
      <c r="D971">
        <v>-5.4970509999999999</v>
      </c>
      <c r="E971">
        <v>3.132971</v>
      </c>
      <c r="F971">
        <v>-2.36408</v>
      </c>
      <c r="G971" s="154">
        <v>4.7191099999999997</v>
      </c>
    </row>
    <row r="972" spans="1:7" x14ac:dyDescent="0.25">
      <c r="A972" t="s">
        <v>117</v>
      </c>
      <c r="B972" t="s">
        <v>432</v>
      </c>
      <c r="C972" t="s">
        <v>1530</v>
      </c>
      <c r="D972">
        <v>-4.9279080000000004</v>
      </c>
      <c r="E972">
        <v>0.89403869999999996</v>
      </c>
      <c r="F972">
        <v>-4.0338690000000001</v>
      </c>
      <c r="G972" s="154">
        <v>3.3296990000000002</v>
      </c>
    </row>
    <row r="973" spans="1:7" x14ac:dyDescent="0.25">
      <c r="A973" t="s">
        <v>117</v>
      </c>
      <c r="B973" t="s">
        <v>432</v>
      </c>
      <c r="C973" t="s">
        <v>1664</v>
      </c>
      <c r="D973">
        <v>-4.6194420000000003</v>
      </c>
      <c r="E973">
        <v>0.52939119999999995</v>
      </c>
      <c r="F973">
        <v>-4.090052</v>
      </c>
      <c r="G973" s="154">
        <v>3.4977269999999998</v>
      </c>
    </row>
    <row r="974" spans="1:7" x14ac:dyDescent="0.25">
      <c r="A974" t="s">
        <v>117</v>
      </c>
      <c r="B974" t="s">
        <v>432</v>
      </c>
      <c r="C974" t="s">
        <v>1531</v>
      </c>
      <c r="D974">
        <v>-5.4507510000000003</v>
      </c>
      <c r="E974">
        <v>1.6490720000000001</v>
      </c>
      <c r="F974">
        <v>-3.801679</v>
      </c>
      <c r="G974" s="154">
        <v>4.526135</v>
      </c>
    </row>
    <row r="975" spans="1:7" x14ac:dyDescent="0.25">
      <c r="A975" t="s">
        <v>121</v>
      </c>
      <c r="B975" t="s">
        <v>437</v>
      </c>
      <c r="C975" t="s">
        <v>1971</v>
      </c>
      <c r="D975">
        <v>-4.0719050000000001</v>
      </c>
      <c r="E975">
        <v>0.93841110000000005</v>
      </c>
      <c r="F975">
        <v>-3.1334930000000001</v>
      </c>
      <c r="G975" s="154">
        <v>6.9071850000000001</v>
      </c>
    </row>
    <row r="976" spans="1:7" x14ac:dyDescent="0.25">
      <c r="A976" t="s">
        <v>121</v>
      </c>
      <c r="B976" t="s">
        <v>437</v>
      </c>
      <c r="C976" t="s">
        <v>1972</v>
      </c>
      <c r="D976">
        <v>-3.1965129999999999</v>
      </c>
      <c r="E976">
        <v>1.0127200000000001</v>
      </c>
      <c r="F976">
        <v>-2.1837930000000001</v>
      </c>
      <c r="G976" s="154">
        <v>6.5908629999999997</v>
      </c>
    </row>
    <row r="977" spans="1:7" x14ac:dyDescent="0.25">
      <c r="A977" t="s">
        <v>121</v>
      </c>
      <c r="B977" t="s">
        <v>437</v>
      </c>
      <c r="C977" t="s">
        <v>1973</v>
      </c>
      <c r="D977">
        <v>-4.2914370000000002</v>
      </c>
      <c r="E977">
        <v>0.73605699999999996</v>
      </c>
      <c r="F977">
        <v>-3.55538</v>
      </c>
      <c r="G977" s="154">
        <v>6.8858600000000001</v>
      </c>
    </row>
    <row r="978" spans="1:7" x14ac:dyDescent="0.25">
      <c r="A978" t="s">
        <v>121</v>
      </c>
      <c r="B978" t="s">
        <v>437</v>
      </c>
      <c r="C978" t="s">
        <v>1974</v>
      </c>
      <c r="D978">
        <v>-4.158398</v>
      </c>
      <c r="E978">
        <v>0.88507230000000003</v>
      </c>
      <c r="F978">
        <v>-3.273326</v>
      </c>
      <c r="G978" s="154">
        <v>7.2682719999999996</v>
      </c>
    </row>
    <row r="979" spans="1:7" x14ac:dyDescent="0.25">
      <c r="A979" t="s">
        <v>121</v>
      </c>
      <c r="B979" t="s">
        <v>437</v>
      </c>
      <c r="C979" t="s">
        <v>1975</v>
      </c>
      <c r="D979">
        <v>-3.960842</v>
      </c>
      <c r="E979">
        <v>1.135211</v>
      </c>
      <c r="F979">
        <v>-2.8256299999999999</v>
      </c>
      <c r="G979" s="154">
        <v>7.6191089999999999</v>
      </c>
    </row>
    <row r="980" spans="1:7" x14ac:dyDescent="0.25">
      <c r="A980" t="s">
        <v>121</v>
      </c>
      <c r="B980" t="s">
        <v>437</v>
      </c>
      <c r="C980" t="s">
        <v>1976</v>
      </c>
      <c r="D980">
        <v>-4.239655</v>
      </c>
      <c r="E980">
        <v>0.85295989999999999</v>
      </c>
      <c r="F980">
        <v>-3.3866960000000002</v>
      </c>
      <c r="G980" s="154">
        <v>6.7980460000000003</v>
      </c>
    </row>
    <row r="981" spans="1:7" x14ac:dyDescent="0.25">
      <c r="A981" t="s">
        <v>121</v>
      </c>
      <c r="B981" t="s">
        <v>437</v>
      </c>
      <c r="C981" t="s">
        <v>1977</v>
      </c>
      <c r="D981">
        <v>-4.6189929999999997</v>
      </c>
      <c r="E981">
        <v>0.70943650000000003</v>
      </c>
      <c r="F981">
        <v>-3.9095559999999998</v>
      </c>
      <c r="G981" s="154">
        <v>5.777088</v>
      </c>
    </row>
    <row r="982" spans="1:7" x14ac:dyDescent="0.25">
      <c r="A982" t="s">
        <v>121</v>
      </c>
      <c r="B982" t="s">
        <v>437</v>
      </c>
      <c r="C982" t="s">
        <v>1978</v>
      </c>
      <c r="D982">
        <v>-5.1137370000000004</v>
      </c>
      <c r="E982">
        <v>0.78971999999999998</v>
      </c>
      <c r="F982">
        <v>-4.3240170000000004</v>
      </c>
      <c r="G982" s="154">
        <v>6.206213</v>
      </c>
    </row>
    <row r="983" spans="1:7" x14ac:dyDescent="0.25">
      <c r="A983" t="s">
        <v>121</v>
      </c>
      <c r="B983" t="s">
        <v>437</v>
      </c>
      <c r="C983" t="s">
        <v>1979</v>
      </c>
      <c r="D983">
        <v>-4.7036959999999999</v>
      </c>
      <c r="E983">
        <v>0.74168670000000003</v>
      </c>
      <c r="F983">
        <v>-3.9620099999999998</v>
      </c>
      <c r="G983" s="154">
        <v>5.2925959999999996</v>
      </c>
    </row>
    <row r="984" spans="1:7" x14ac:dyDescent="0.25">
      <c r="A984" t="s">
        <v>121</v>
      </c>
      <c r="B984" t="s">
        <v>437</v>
      </c>
      <c r="C984" t="s">
        <v>1980</v>
      </c>
      <c r="D984">
        <v>-4.1309589999999998</v>
      </c>
      <c r="E984">
        <v>0.94823380000000002</v>
      </c>
      <c r="F984">
        <v>-3.1827239999999999</v>
      </c>
      <c r="G984" s="154">
        <v>6.4663769999999996</v>
      </c>
    </row>
    <row r="985" spans="1:7" x14ac:dyDescent="0.25">
      <c r="A985" t="s">
        <v>121</v>
      </c>
      <c r="B985" t="s">
        <v>437</v>
      </c>
      <c r="C985" t="s">
        <v>1981</v>
      </c>
      <c r="D985">
        <v>-4.5185940000000002</v>
      </c>
      <c r="E985">
        <v>0.76092219999999999</v>
      </c>
      <c r="F985">
        <v>-3.7576719999999999</v>
      </c>
      <c r="G985" s="154">
        <v>7.0224770000000003</v>
      </c>
    </row>
    <row r="986" spans="1:7" x14ac:dyDescent="0.25">
      <c r="A986" t="s">
        <v>12</v>
      </c>
      <c r="B986" t="s">
        <v>431</v>
      </c>
      <c r="C986" t="s">
        <v>1982</v>
      </c>
      <c r="D986">
        <v>-5.3702449999999997</v>
      </c>
      <c r="E986">
        <v>1.1883729999999999</v>
      </c>
      <c r="F986">
        <v>-4.1818720000000003</v>
      </c>
      <c r="G986" s="154">
        <v>4.7853859999999999</v>
      </c>
    </row>
    <row r="987" spans="1:7" x14ac:dyDescent="0.25">
      <c r="A987" t="s">
        <v>12</v>
      </c>
      <c r="B987" t="s">
        <v>431</v>
      </c>
      <c r="C987" t="s">
        <v>1983</v>
      </c>
      <c r="D987">
        <v>-3.4319440000000001</v>
      </c>
      <c r="E987">
        <v>1.316621</v>
      </c>
      <c r="F987">
        <v>-2.1153240000000002</v>
      </c>
      <c r="G987" s="154">
        <v>6.0370030000000003</v>
      </c>
    </row>
    <row r="988" spans="1:7" x14ac:dyDescent="0.25">
      <c r="A988" t="s">
        <v>12</v>
      </c>
      <c r="B988" t="s">
        <v>431</v>
      </c>
      <c r="C988" t="s">
        <v>1984</v>
      </c>
      <c r="D988">
        <v>-6.1788869999999996</v>
      </c>
      <c r="E988">
        <v>1.3796660000000001</v>
      </c>
      <c r="F988">
        <v>-4.7992210000000002</v>
      </c>
      <c r="G988" s="154">
        <v>3.3226270000000002</v>
      </c>
    </row>
    <row r="989" spans="1:7" x14ac:dyDescent="0.25">
      <c r="A989" t="s">
        <v>12</v>
      </c>
      <c r="B989" t="s">
        <v>431</v>
      </c>
      <c r="C989" t="s">
        <v>1985</v>
      </c>
      <c r="D989">
        <v>-5.0232049999999999</v>
      </c>
      <c r="E989">
        <v>1.3073680000000001</v>
      </c>
      <c r="F989">
        <v>-3.7158370000000001</v>
      </c>
      <c r="G989" s="154">
        <v>4.0439280000000002</v>
      </c>
    </row>
    <row r="990" spans="1:7" x14ac:dyDescent="0.25">
      <c r="A990" t="s">
        <v>12</v>
      </c>
      <c r="B990" t="s">
        <v>431</v>
      </c>
      <c r="C990" t="s">
        <v>1986</v>
      </c>
      <c r="D990">
        <v>-5.5102969999999996</v>
      </c>
      <c r="E990">
        <v>1.2238709999999999</v>
      </c>
      <c r="F990">
        <v>-4.2864259999999996</v>
      </c>
      <c r="G990" s="154">
        <v>3.5893290000000002</v>
      </c>
    </row>
    <row r="991" spans="1:7" x14ac:dyDescent="0.25">
      <c r="A991" t="s">
        <v>12</v>
      </c>
      <c r="B991" t="s">
        <v>431</v>
      </c>
      <c r="C991" t="s">
        <v>1987</v>
      </c>
      <c r="D991">
        <v>-6.1663940000000004</v>
      </c>
      <c r="E991">
        <v>1.2916780000000001</v>
      </c>
      <c r="F991">
        <v>-4.8747160000000003</v>
      </c>
      <c r="G991" s="154">
        <v>3.371683</v>
      </c>
    </row>
    <row r="992" spans="1:7" x14ac:dyDescent="0.25">
      <c r="A992" t="s">
        <v>12</v>
      </c>
      <c r="B992" t="s">
        <v>431</v>
      </c>
      <c r="C992" t="s">
        <v>1988</v>
      </c>
      <c r="D992">
        <v>-5.7882990000000003</v>
      </c>
      <c r="E992">
        <v>1.3733869999999999</v>
      </c>
      <c r="F992">
        <v>-4.4149120000000002</v>
      </c>
      <c r="G992" s="154">
        <v>4.5063639999999996</v>
      </c>
    </row>
    <row r="993" spans="1:7" x14ac:dyDescent="0.25">
      <c r="A993" t="s">
        <v>12</v>
      </c>
      <c r="B993" t="s">
        <v>431</v>
      </c>
      <c r="C993" t="s">
        <v>1989</v>
      </c>
      <c r="D993">
        <v>-6.0634040000000002</v>
      </c>
      <c r="E993">
        <v>1.1931659999999999</v>
      </c>
      <c r="F993">
        <v>-4.8702379999999996</v>
      </c>
      <c r="G993" s="154">
        <v>3.2941009999999999</v>
      </c>
    </row>
    <row r="994" spans="1:7" x14ac:dyDescent="0.25">
      <c r="A994" t="s">
        <v>12</v>
      </c>
      <c r="B994" t="s">
        <v>431</v>
      </c>
      <c r="C994" t="s">
        <v>1990</v>
      </c>
      <c r="D994">
        <v>-6.1538440000000003</v>
      </c>
      <c r="E994">
        <v>1.1557850000000001</v>
      </c>
      <c r="F994">
        <v>-4.9980580000000003</v>
      </c>
      <c r="G994" s="154">
        <v>3.1976969999999998</v>
      </c>
    </row>
    <row r="995" spans="1:7" x14ac:dyDescent="0.25">
      <c r="A995" t="s">
        <v>12</v>
      </c>
      <c r="B995" t="s">
        <v>431</v>
      </c>
      <c r="C995" t="s">
        <v>1991</v>
      </c>
      <c r="D995">
        <v>-5.543914</v>
      </c>
      <c r="E995">
        <v>1.3688549999999999</v>
      </c>
      <c r="F995">
        <v>-4.1750590000000001</v>
      </c>
      <c r="G995" s="154">
        <v>3.911902</v>
      </c>
    </row>
    <row r="996" spans="1:7" x14ac:dyDescent="0.25">
      <c r="A996" t="s">
        <v>12</v>
      </c>
      <c r="B996" t="s">
        <v>431</v>
      </c>
      <c r="C996" t="s">
        <v>1992</v>
      </c>
      <c r="D996">
        <v>-5.0586640000000003</v>
      </c>
      <c r="E996">
        <v>1.035266</v>
      </c>
      <c r="F996">
        <v>-4.0233980000000003</v>
      </c>
      <c r="G996" s="154">
        <v>3.2301850000000001</v>
      </c>
    </row>
    <row r="997" spans="1:7" x14ac:dyDescent="0.25">
      <c r="A997" t="s">
        <v>12</v>
      </c>
      <c r="B997" t="s">
        <v>431</v>
      </c>
      <c r="C997" t="s">
        <v>1993</v>
      </c>
      <c r="D997">
        <v>-5.5830310000000001</v>
      </c>
      <c r="E997">
        <v>1.4309480000000001</v>
      </c>
      <c r="F997">
        <v>-4.1520820000000001</v>
      </c>
      <c r="G997" s="154">
        <v>3.8892319999999998</v>
      </c>
    </row>
    <row r="998" spans="1:7" x14ac:dyDescent="0.25">
      <c r="A998" t="s">
        <v>12</v>
      </c>
      <c r="B998" t="s">
        <v>431</v>
      </c>
      <c r="C998" t="s">
        <v>1994</v>
      </c>
      <c r="D998">
        <v>-6.2971539999999999</v>
      </c>
      <c r="E998">
        <v>1.4907710000000001</v>
      </c>
      <c r="F998">
        <v>-4.8063830000000003</v>
      </c>
      <c r="G998" s="154">
        <v>2.777358</v>
      </c>
    </row>
    <row r="999" spans="1:7" x14ac:dyDescent="0.25">
      <c r="A999" t="s">
        <v>12</v>
      </c>
      <c r="B999" t="s">
        <v>431</v>
      </c>
      <c r="C999" t="s">
        <v>1995</v>
      </c>
      <c r="D999">
        <v>-6.2901020000000001</v>
      </c>
      <c r="E999">
        <v>1.264367</v>
      </c>
      <c r="F999">
        <v>-5.0257350000000001</v>
      </c>
      <c r="G999" s="154">
        <v>3.5808270000000002</v>
      </c>
    </row>
    <row r="1000" spans="1:7" x14ac:dyDescent="0.25">
      <c r="A1000" t="s">
        <v>12</v>
      </c>
      <c r="B1000" t="s">
        <v>431</v>
      </c>
      <c r="C1000" t="s">
        <v>1996</v>
      </c>
      <c r="D1000">
        <v>-5.0793369999999998</v>
      </c>
      <c r="E1000">
        <v>1.3237429999999999</v>
      </c>
      <c r="F1000">
        <v>-3.7555939999999999</v>
      </c>
      <c r="G1000" s="154">
        <v>3.5196160000000001</v>
      </c>
    </row>
    <row r="1001" spans="1:7" x14ac:dyDescent="0.25">
      <c r="A1001" t="s">
        <v>12</v>
      </c>
      <c r="B1001" t="s">
        <v>431</v>
      </c>
      <c r="C1001" t="s">
        <v>1997</v>
      </c>
      <c r="D1001">
        <v>-5.5865200000000002</v>
      </c>
      <c r="E1001">
        <v>1.369116</v>
      </c>
      <c r="F1001">
        <v>-4.217403</v>
      </c>
      <c r="G1001" s="154">
        <v>2.8463069999999999</v>
      </c>
    </row>
    <row r="1002" spans="1:7" x14ac:dyDescent="0.25">
      <c r="A1002" t="s">
        <v>12</v>
      </c>
      <c r="B1002" t="s">
        <v>431</v>
      </c>
      <c r="C1002" t="s">
        <v>1998</v>
      </c>
      <c r="D1002">
        <v>-4.9051289999999996</v>
      </c>
      <c r="E1002">
        <v>1.2899039999999999</v>
      </c>
      <c r="F1002">
        <v>-3.6152250000000001</v>
      </c>
      <c r="G1002" s="154">
        <v>4.4059460000000001</v>
      </c>
    </row>
    <row r="1003" spans="1:7" x14ac:dyDescent="0.25">
      <c r="A1003" t="s">
        <v>12</v>
      </c>
      <c r="B1003" t="s">
        <v>431</v>
      </c>
      <c r="C1003" t="s">
        <v>1999</v>
      </c>
      <c r="D1003">
        <v>-5.5961980000000002</v>
      </c>
      <c r="E1003">
        <v>1.385953</v>
      </c>
      <c r="F1003">
        <v>-4.2102440000000003</v>
      </c>
      <c r="G1003" s="154">
        <v>3.2945350000000002</v>
      </c>
    </row>
    <row r="1004" spans="1:7" x14ac:dyDescent="0.25">
      <c r="A1004" t="s">
        <v>12</v>
      </c>
      <c r="B1004" t="s">
        <v>431</v>
      </c>
      <c r="C1004" t="s">
        <v>2000</v>
      </c>
      <c r="D1004">
        <v>-5.34314</v>
      </c>
      <c r="E1004">
        <v>1.2690619999999999</v>
      </c>
      <c r="F1004">
        <v>-4.0740790000000002</v>
      </c>
      <c r="G1004" s="154">
        <v>3.1418370000000002</v>
      </c>
    </row>
    <row r="1005" spans="1:7" x14ac:dyDescent="0.25">
      <c r="A1005" t="s">
        <v>12</v>
      </c>
      <c r="B1005" t="s">
        <v>431</v>
      </c>
      <c r="C1005" t="s">
        <v>2001</v>
      </c>
      <c r="D1005">
        <v>-6.7206039999999998</v>
      </c>
      <c r="E1005">
        <v>1.2343580000000001</v>
      </c>
      <c r="F1005">
        <v>-5.4862469999999997</v>
      </c>
      <c r="G1005" s="154">
        <v>2.4769350000000001</v>
      </c>
    </row>
    <row r="1006" spans="1:7" x14ac:dyDescent="0.25">
      <c r="A1006" t="s">
        <v>12</v>
      </c>
      <c r="B1006" t="s">
        <v>431</v>
      </c>
      <c r="C1006" t="s">
        <v>2002</v>
      </c>
      <c r="D1006">
        <v>-5.8390719999999998</v>
      </c>
      <c r="E1006">
        <v>1.3580350000000001</v>
      </c>
      <c r="F1006">
        <v>-4.4810379999999999</v>
      </c>
      <c r="G1006" s="154">
        <v>3.5015849999999999</v>
      </c>
    </row>
    <row r="1007" spans="1:7" x14ac:dyDescent="0.25">
      <c r="A1007" t="s">
        <v>13</v>
      </c>
      <c r="B1007" t="s">
        <v>438</v>
      </c>
      <c r="C1007" t="s">
        <v>1371</v>
      </c>
      <c r="D1007">
        <v>-8.2695530000000002</v>
      </c>
      <c r="E1007">
        <v>2.8244950000000002</v>
      </c>
      <c r="F1007">
        <v>-5.4450580000000004</v>
      </c>
      <c r="G1007" s="154">
        <v>3.4648240000000001</v>
      </c>
    </row>
    <row r="1008" spans="1:7" x14ac:dyDescent="0.25">
      <c r="A1008" t="s">
        <v>13</v>
      </c>
      <c r="B1008" t="s">
        <v>438</v>
      </c>
      <c r="C1008" t="s">
        <v>1529</v>
      </c>
      <c r="D1008">
        <v>-9.4275059999999993</v>
      </c>
      <c r="E1008">
        <v>2.589432</v>
      </c>
      <c r="F1008">
        <v>-6.8380749999999999</v>
      </c>
      <c r="G1008" s="154">
        <v>2.3462999999999998</v>
      </c>
    </row>
    <row r="1009" spans="1:7" x14ac:dyDescent="0.25">
      <c r="A1009" t="s">
        <v>13</v>
      </c>
      <c r="B1009" t="s">
        <v>438</v>
      </c>
      <c r="C1009" t="s">
        <v>1530</v>
      </c>
      <c r="D1009">
        <v>-10.381919999999999</v>
      </c>
      <c r="E1009">
        <v>2.58514</v>
      </c>
      <c r="F1009">
        <v>-7.7967820000000003</v>
      </c>
      <c r="G1009" s="154">
        <v>2.2596949999999998</v>
      </c>
    </row>
    <row r="1010" spans="1:7" x14ac:dyDescent="0.25">
      <c r="A1010" t="s">
        <v>13</v>
      </c>
      <c r="B1010" t="s">
        <v>438</v>
      </c>
      <c r="C1010" t="s">
        <v>1532</v>
      </c>
      <c r="D1010">
        <v>-9.641413</v>
      </c>
      <c r="E1010">
        <v>2.780532</v>
      </c>
      <c r="F1010">
        <v>-6.860881</v>
      </c>
      <c r="G1010" s="154">
        <v>2.029798</v>
      </c>
    </row>
    <row r="1011" spans="1:7" x14ac:dyDescent="0.25">
      <c r="A1011" t="s">
        <v>80</v>
      </c>
      <c r="B1011" t="s">
        <v>439</v>
      </c>
      <c r="C1011" t="s">
        <v>2003</v>
      </c>
      <c r="D1011">
        <v>-5.1419170000000003</v>
      </c>
      <c r="E1011">
        <v>3.1433360000000001</v>
      </c>
      <c r="F1011">
        <v>-1.9985809999999999</v>
      </c>
      <c r="G1011" s="154">
        <v>8.6620740000000005</v>
      </c>
    </row>
    <row r="1012" spans="1:7" x14ac:dyDescent="0.25">
      <c r="A1012" t="s">
        <v>80</v>
      </c>
      <c r="B1012" t="s">
        <v>439</v>
      </c>
      <c r="C1012" t="s">
        <v>2004</v>
      </c>
      <c r="D1012">
        <v>-5.1676760000000002</v>
      </c>
      <c r="E1012">
        <v>3.098716</v>
      </c>
      <c r="F1012">
        <v>-2.0689609999999998</v>
      </c>
      <c r="G1012" s="154">
        <v>8.2470090000000003</v>
      </c>
    </row>
    <row r="1013" spans="1:7" x14ac:dyDescent="0.25">
      <c r="A1013" t="s">
        <v>80</v>
      </c>
      <c r="B1013" t="s">
        <v>439</v>
      </c>
      <c r="C1013" t="s">
        <v>2005</v>
      </c>
      <c r="D1013">
        <v>-5.3491980000000003</v>
      </c>
      <c r="E1013">
        <v>2.8347250000000002</v>
      </c>
      <c r="F1013">
        <v>-2.5144730000000002</v>
      </c>
      <c r="G1013" s="154">
        <v>8.0823070000000001</v>
      </c>
    </row>
    <row r="1014" spans="1:7" x14ac:dyDescent="0.25">
      <c r="A1014" t="s">
        <v>80</v>
      </c>
      <c r="B1014" t="s">
        <v>439</v>
      </c>
      <c r="C1014" t="s">
        <v>2006</v>
      </c>
      <c r="D1014">
        <v>-4.8725399999999999</v>
      </c>
      <c r="E1014">
        <v>3.4548589999999999</v>
      </c>
      <c r="F1014">
        <v>-1.417681</v>
      </c>
      <c r="G1014" s="154">
        <v>9.0426579999999994</v>
      </c>
    </row>
    <row r="1015" spans="1:7" x14ac:dyDescent="0.25">
      <c r="A1015" t="s">
        <v>80</v>
      </c>
      <c r="B1015" t="s">
        <v>439</v>
      </c>
      <c r="C1015" t="s">
        <v>2007</v>
      </c>
      <c r="D1015">
        <v>-5.1071730000000004</v>
      </c>
      <c r="E1015">
        <v>3.6171440000000001</v>
      </c>
      <c r="F1015">
        <v>-1.490029</v>
      </c>
      <c r="G1015" s="154">
        <v>8.7867920000000002</v>
      </c>
    </row>
    <row r="1016" spans="1:7" x14ac:dyDescent="0.25">
      <c r="A1016" t="s">
        <v>80</v>
      </c>
      <c r="B1016" t="s">
        <v>439</v>
      </c>
      <c r="C1016" t="s">
        <v>2008</v>
      </c>
      <c r="D1016">
        <v>-5.1564120000000004</v>
      </c>
      <c r="E1016">
        <v>2.7260930000000001</v>
      </c>
      <c r="F1016">
        <v>-2.43032</v>
      </c>
      <c r="G1016" s="154">
        <v>8.4848300000000005</v>
      </c>
    </row>
    <row r="1017" spans="1:7" x14ac:dyDescent="0.25">
      <c r="A1017" t="s">
        <v>80</v>
      </c>
      <c r="B1017" t="s">
        <v>439</v>
      </c>
      <c r="C1017" t="s">
        <v>2009</v>
      </c>
      <c r="D1017">
        <v>-4.7381279999999997</v>
      </c>
      <c r="E1017">
        <v>3.0660400000000001</v>
      </c>
      <c r="F1017">
        <v>-1.6720889999999999</v>
      </c>
      <c r="G1017" s="154">
        <v>9.2242540000000002</v>
      </c>
    </row>
    <row r="1018" spans="1:7" x14ac:dyDescent="0.25">
      <c r="A1018" t="s">
        <v>80</v>
      </c>
      <c r="B1018" t="s">
        <v>439</v>
      </c>
      <c r="C1018" t="s">
        <v>2010</v>
      </c>
      <c r="D1018">
        <v>-5.143732</v>
      </c>
      <c r="E1018">
        <v>2.9165329999999998</v>
      </c>
      <c r="F1018">
        <v>-2.2271990000000002</v>
      </c>
      <c r="G1018" s="154">
        <v>8.5447989999999994</v>
      </c>
    </row>
    <row r="1019" spans="1:7" x14ac:dyDescent="0.25">
      <c r="A1019" t="s">
        <v>80</v>
      </c>
      <c r="B1019" t="s">
        <v>439</v>
      </c>
      <c r="C1019" t="s">
        <v>2011</v>
      </c>
      <c r="D1019">
        <v>-5.2950520000000001</v>
      </c>
      <c r="E1019">
        <v>3.0582129999999998</v>
      </c>
      <c r="F1019">
        <v>-2.2368380000000001</v>
      </c>
      <c r="G1019" s="154">
        <v>8.3109479999999998</v>
      </c>
    </row>
    <row r="1020" spans="1:7" x14ac:dyDescent="0.25">
      <c r="A1020" t="s">
        <v>80</v>
      </c>
      <c r="B1020" t="s">
        <v>439</v>
      </c>
      <c r="C1020" t="s">
        <v>2012</v>
      </c>
      <c r="D1020">
        <v>-5.116816</v>
      </c>
      <c r="E1020">
        <v>2.8776009999999999</v>
      </c>
      <c r="F1020">
        <v>-2.239214</v>
      </c>
      <c r="G1020" s="154">
        <v>8.6693359999999995</v>
      </c>
    </row>
    <row r="1021" spans="1:7" x14ac:dyDescent="0.25">
      <c r="A1021" t="s">
        <v>80</v>
      </c>
      <c r="B1021" t="s">
        <v>439</v>
      </c>
      <c r="C1021" t="s">
        <v>2013</v>
      </c>
      <c r="D1021">
        <v>-4.8207969999999998</v>
      </c>
      <c r="E1021">
        <v>3.1316670000000002</v>
      </c>
      <c r="F1021">
        <v>-1.68913</v>
      </c>
      <c r="G1021" s="154">
        <v>8.6014320000000009</v>
      </c>
    </row>
    <row r="1022" spans="1:7" x14ac:dyDescent="0.25">
      <c r="A1022" t="s">
        <v>80</v>
      </c>
      <c r="B1022" t="s">
        <v>439</v>
      </c>
      <c r="C1022" t="s">
        <v>2014</v>
      </c>
      <c r="D1022">
        <v>-3.6591520000000002</v>
      </c>
      <c r="E1022">
        <v>3.2602850000000001</v>
      </c>
      <c r="F1022">
        <v>-0.39886719999999998</v>
      </c>
      <c r="G1022" s="154">
        <v>10.448399999999999</v>
      </c>
    </row>
    <row r="1023" spans="1:7" x14ac:dyDescent="0.25">
      <c r="A1023" t="s">
        <v>80</v>
      </c>
      <c r="B1023" t="s">
        <v>439</v>
      </c>
      <c r="C1023" t="s">
        <v>2015</v>
      </c>
      <c r="D1023">
        <v>-5.2092989999999997</v>
      </c>
      <c r="E1023">
        <v>3.4538690000000001</v>
      </c>
      <c r="F1023">
        <v>-1.75543</v>
      </c>
      <c r="G1023" s="154">
        <v>8.7124220000000001</v>
      </c>
    </row>
    <row r="1024" spans="1:7" x14ac:dyDescent="0.25">
      <c r="A1024" t="s">
        <v>80</v>
      </c>
      <c r="B1024" t="s">
        <v>439</v>
      </c>
      <c r="C1024" t="s">
        <v>2016</v>
      </c>
      <c r="D1024">
        <v>-4.8157420000000002</v>
      </c>
      <c r="E1024">
        <v>3.0698500000000002</v>
      </c>
      <c r="F1024">
        <v>-1.7458910000000001</v>
      </c>
      <c r="G1024" s="154">
        <v>8.7687360000000005</v>
      </c>
    </row>
    <row r="1025" spans="1:7" x14ac:dyDescent="0.25">
      <c r="A1025" t="s">
        <v>80</v>
      </c>
      <c r="B1025" t="s">
        <v>439</v>
      </c>
      <c r="C1025" t="s">
        <v>2017</v>
      </c>
      <c r="D1025">
        <v>-4.9130589999999996</v>
      </c>
      <c r="E1025">
        <v>2.9105249999999998</v>
      </c>
      <c r="F1025">
        <v>-2.0025330000000001</v>
      </c>
      <c r="G1025" s="154">
        <v>8.7513989999999993</v>
      </c>
    </row>
    <row r="1026" spans="1:7" x14ac:dyDescent="0.25">
      <c r="A1026" t="s">
        <v>80</v>
      </c>
      <c r="B1026" t="s">
        <v>439</v>
      </c>
      <c r="C1026" t="s">
        <v>2018</v>
      </c>
      <c r="D1026">
        <v>-4.7171589999999997</v>
      </c>
      <c r="E1026">
        <v>2.988559</v>
      </c>
      <c r="F1026">
        <v>-1.7286010000000001</v>
      </c>
      <c r="G1026" s="154">
        <v>8.8592680000000001</v>
      </c>
    </row>
    <row r="1027" spans="1:7" x14ac:dyDescent="0.25">
      <c r="A1027" t="s">
        <v>80</v>
      </c>
      <c r="B1027" t="s">
        <v>439</v>
      </c>
      <c r="C1027" t="s">
        <v>2019</v>
      </c>
      <c r="D1027">
        <v>-4.9939460000000002</v>
      </c>
      <c r="E1027">
        <v>3.2050350000000001</v>
      </c>
      <c r="F1027">
        <v>-1.7889109999999999</v>
      </c>
      <c r="G1027" s="154">
        <v>8.6827419999999993</v>
      </c>
    </row>
    <row r="1028" spans="1:7" x14ac:dyDescent="0.25">
      <c r="A1028" t="s">
        <v>80</v>
      </c>
      <c r="B1028" t="s">
        <v>439</v>
      </c>
      <c r="C1028" t="s">
        <v>2020</v>
      </c>
      <c r="D1028">
        <v>-5.3937910000000002</v>
      </c>
      <c r="E1028">
        <v>3.1395300000000002</v>
      </c>
      <c r="F1028">
        <v>-2.2542599999999999</v>
      </c>
      <c r="G1028" s="154">
        <v>8.5758150000000004</v>
      </c>
    </row>
    <row r="1029" spans="1:7" x14ac:dyDescent="0.25">
      <c r="A1029" t="s">
        <v>80</v>
      </c>
      <c r="B1029" t="s">
        <v>439</v>
      </c>
      <c r="C1029" t="s">
        <v>2021</v>
      </c>
      <c r="D1029">
        <v>-4.6854290000000001</v>
      </c>
      <c r="E1029">
        <v>2.8076500000000002</v>
      </c>
      <c r="F1029">
        <v>-1.8777790000000001</v>
      </c>
      <c r="G1029" s="154">
        <v>9.9454039999999999</v>
      </c>
    </row>
    <row r="1030" spans="1:7" x14ac:dyDescent="0.25">
      <c r="A1030" t="s">
        <v>80</v>
      </c>
      <c r="B1030" t="s">
        <v>439</v>
      </c>
      <c r="C1030" t="s">
        <v>2022</v>
      </c>
      <c r="D1030">
        <v>-5.1525939999999997</v>
      </c>
      <c r="E1030">
        <v>3.1344989999999999</v>
      </c>
      <c r="F1030">
        <v>-2.0180950000000002</v>
      </c>
      <c r="G1030" s="154">
        <v>8.6875579999999992</v>
      </c>
    </row>
    <row r="1031" spans="1:7" x14ac:dyDescent="0.25">
      <c r="A1031" t="s">
        <v>80</v>
      </c>
      <c r="B1031" t="s">
        <v>439</v>
      </c>
      <c r="C1031" t="s">
        <v>2023</v>
      </c>
      <c r="D1031">
        <v>-5.4319329999999999</v>
      </c>
      <c r="E1031">
        <v>3.0490219999999999</v>
      </c>
      <c r="F1031">
        <v>-2.382911</v>
      </c>
      <c r="G1031" s="154">
        <v>8.4003270000000008</v>
      </c>
    </row>
    <row r="1032" spans="1:7" x14ac:dyDescent="0.25">
      <c r="A1032" t="s">
        <v>80</v>
      </c>
      <c r="B1032" t="s">
        <v>439</v>
      </c>
      <c r="C1032" t="s">
        <v>2024</v>
      </c>
      <c r="D1032">
        <v>-5.294581</v>
      </c>
      <c r="E1032">
        <v>3.1285799999999999</v>
      </c>
      <c r="F1032">
        <v>-2.1660010000000001</v>
      </c>
      <c r="G1032" s="154">
        <v>8.2032880000000006</v>
      </c>
    </row>
    <row r="1033" spans="1:7" x14ac:dyDescent="0.25">
      <c r="A1033" t="s">
        <v>80</v>
      </c>
      <c r="B1033" t="s">
        <v>439</v>
      </c>
      <c r="C1033" t="s">
        <v>2025</v>
      </c>
      <c r="D1033">
        <v>-5.2857779999999996</v>
      </c>
      <c r="E1033">
        <v>3.2768980000000001</v>
      </c>
      <c r="F1033">
        <v>-2.00888</v>
      </c>
      <c r="G1033" s="154">
        <v>8.5733189999999997</v>
      </c>
    </row>
    <row r="1034" spans="1:7" x14ac:dyDescent="0.25">
      <c r="A1034" t="s">
        <v>80</v>
      </c>
      <c r="B1034" t="s">
        <v>439</v>
      </c>
      <c r="C1034" t="s">
        <v>2026</v>
      </c>
      <c r="D1034">
        <v>-5.2134510000000001</v>
      </c>
      <c r="E1034">
        <v>2.8145910000000001</v>
      </c>
      <c r="F1034">
        <v>-2.3988589999999999</v>
      </c>
      <c r="G1034" s="154">
        <v>10.3019</v>
      </c>
    </row>
    <row r="1035" spans="1:7" x14ac:dyDescent="0.25">
      <c r="A1035" t="s">
        <v>80</v>
      </c>
      <c r="B1035" t="s">
        <v>439</v>
      </c>
      <c r="C1035" t="s">
        <v>2027</v>
      </c>
      <c r="D1035">
        <v>-4.8199569999999996</v>
      </c>
      <c r="E1035">
        <v>3.2077420000000001</v>
      </c>
      <c r="F1035">
        <v>-1.612215</v>
      </c>
      <c r="G1035" s="154">
        <v>8.9124099999999995</v>
      </c>
    </row>
    <row r="1036" spans="1:7" x14ac:dyDescent="0.25">
      <c r="A1036" t="s">
        <v>80</v>
      </c>
      <c r="B1036" t="s">
        <v>439</v>
      </c>
      <c r="C1036" t="s">
        <v>2028</v>
      </c>
      <c r="D1036">
        <v>-5.2733340000000002</v>
      </c>
      <c r="E1036">
        <v>3.1605780000000001</v>
      </c>
      <c r="F1036">
        <v>-2.1127560000000001</v>
      </c>
      <c r="G1036" s="154">
        <v>8.4885959999999994</v>
      </c>
    </row>
    <row r="1037" spans="1:7" x14ac:dyDescent="0.25">
      <c r="A1037" t="s">
        <v>173</v>
      </c>
      <c r="B1037" t="s">
        <v>442</v>
      </c>
      <c r="C1037" t="s">
        <v>2029</v>
      </c>
      <c r="D1037">
        <v>-3.8837920000000001</v>
      </c>
      <c r="E1037">
        <v>2.7981820000000002</v>
      </c>
      <c r="F1037">
        <v>-1.0856110000000001</v>
      </c>
      <c r="G1037" s="154">
        <v>11.821899999999999</v>
      </c>
    </row>
    <row r="1038" spans="1:7" x14ac:dyDescent="0.25">
      <c r="A1038" t="s">
        <v>173</v>
      </c>
      <c r="B1038" t="s">
        <v>442</v>
      </c>
      <c r="C1038" t="s">
        <v>2030</v>
      </c>
      <c r="D1038">
        <v>-3.563977</v>
      </c>
      <c r="E1038">
        <v>2.5661399999999999</v>
      </c>
      <c r="F1038">
        <v>-0.99783619999999995</v>
      </c>
      <c r="G1038" s="154">
        <v>12.26549</v>
      </c>
    </row>
    <row r="1039" spans="1:7" x14ac:dyDescent="0.25">
      <c r="A1039" t="s">
        <v>173</v>
      </c>
      <c r="B1039" t="s">
        <v>442</v>
      </c>
      <c r="C1039" t="s">
        <v>2031</v>
      </c>
      <c r="D1039">
        <v>-4.09884</v>
      </c>
      <c r="E1039">
        <v>2.6941320000000002</v>
      </c>
      <c r="F1039">
        <v>-1.4047080000000001</v>
      </c>
      <c r="G1039" s="154">
        <v>11.99596</v>
      </c>
    </row>
    <row r="1040" spans="1:7" x14ac:dyDescent="0.25">
      <c r="A1040" t="s">
        <v>173</v>
      </c>
      <c r="B1040" t="s">
        <v>442</v>
      </c>
      <c r="C1040" t="s">
        <v>2032</v>
      </c>
      <c r="D1040">
        <v>-4.4619080000000002</v>
      </c>
      <c r="E1040">
        <v>2.8633579999999998</v>
      </c>
      <c r="F1040">
        <v>-1.5985499999999999</v>
      </c>
      <c r="G1040" s="154">
        <v>11.711729999999999</v>
      </c>
    </row>
    <row r="1041" spans="1:7" x14ac:dyDescent="0.25">
      <c r="A1041" t="s">
        <v>173</v>
      </c>
      <c r="B1041" t="s">
        <v>442</v>
      </c>
      <c r="C1041" t="s">
        <v>2033</v>
      </c>
      <c r="D1041">
        <v>-3.737069</v>
      </c>
      <c r="E1041">
        <v>2.7293660000000002</v>
      </c>
      <c r="F1041">
        <v>-1.007703</v>
      </c>
      <c r="G1041" s="154">
        <v>11.88003</v>
      </c>
    </row>
    <row r="1042" spans="1:7" x14ac:dyDescent="0.25">
      <c r="A1042" t="s">
        <v>173</v>
      </c>
      <c r="B1042" t="s">
        <v>442</v>
      </c>
      <c r="C1042" t="s">
        <v>2034</v>
      </c>
      <c r="D1042">
        <v>-3.4420440000000001</v>
      </c>
      <c r="E1042">
        <v>2.5854870000000001</v>
      </c>
      <c r="F1042">
        <v>-0.8565564</v>
      </c>
      <c r="G1042" s="154">
        <v>12.58282</v>
      </c>
    </row>
    <row r="1043" spans="1:7" x14ac:dyDescent="0.25">
      <c r="A1043" t="s">
        <v>173</v>
      </c>
      <c r="B1043" t="s">
        <v>442</v>
      </c>
      <c r="C1043" t="s">
        <v>2035</v>
      </c>
      <c r="D1043">
        <v>-3.6628029999999998</v>
      </c>
      <c r="E1043">
        <v>2.7942429999999998</v>
      </c>
      <c r="F1043">
        <v>-0.86856029999999995</v>
      </c>
      <c r="G1043" s="154">
        <v>12.560230000000001</v>
      </c>
    </row>
    <row r="1044" spans="1:7" x14ac:dyDescent="0.25">
      <c r="A1044" t="s">
        <v>173</v>
      </c>
      <c r="B1044" t="s">
        <v>442</v>
      </c>
      <c r="C1044" t="s">
        <v>2036</v>
      </c>
      <c r="D1044">
        <v>-3.5992649999999999</v>
      </c>
      <c r="E1044">
        <v>2.7594129999999999</v>
      </c>
      <c r="F1044">
        <v>-0.83985189999999998</v>
      </c>
      <c r="G1044" s="154">
        <v>12.23813</v>
      </c>
    </row>
    <row r="1045" spans="1:7" x14ac:dyDescent="0.25">
      <c r="B1045" t="s">
        <v>442</v>
      </c>
      <c r="C1045" t="s">
        <v>2037</v>
      </c>
      <c r="D1045">
        <v>-3.3797769999999998</v>
      </c>
      <c r="E1045">
        <v>3.0114719999999999</v>
      </c>
      <c r="F1045">
        <v>-0.36830560000000001</v>
      </c>
      <c r="G1045" s="154">
        <v>12.832509999999999</v>
      </c>
    </row>
    <row r="1046" spans="1:7" x14ac:dyDescent="0.25">
      <c r="A1046" t="s">
        <v>173</v>
      </c>
      <c r="B1046" t="s">
        <v>442</v>
      </c>
      <c r="C1046" t="s">
        <v>2038</v>
      </c>
      <c r="D1046">
        <v>-4.3571949999999999</v>
      </c>
      <c r="E1046">
        <v>2.6836500000000001</v>
      </c>
      <c r="F1046">
        <v>-1.6735450000000001</v>
      </c>
      <c r="G1046" s="154">
        <v>12.11703</v>
      </c>
    </row>
    <row r="1047" spans="1:7" x14ac:dyDescent="0.25">
      <c r="A1047" t="s">
        <v>173</v>
      </c>
      <c r="B1047" t="s">
        <v>442</v>
      </c>
      <c r="C1047" t="s">
        <v>79</v>
      </c>
      <c r="D1047">
        <v>-3.7662990000000001</v>
      </c>
      <c r="E1047">
        <v>2.730988</v>
      </c>
      <c r="F1047">
        <v>-1.0353110000000001</v>
      </c>
      <c r="G1047" s="154">
        <v>12.031470000000001</v>
      </c>
    </row>
    <row r="1048" spans="1:7" x14ac:dyDescent="0.25">
      <c r="A1048" t="s">
        <v>173</v>
      </c>
      <c r="B1048" t="s">
        <v>442</v>
      </c>
      <c r="C1048" t="s">
        <v>2039</v>
      </c>
      <c r="D1048">
        <v>-3.686369</v>
      </c>
      <c r="E1048">
        <v>2.7302680000000001</v>
      </c>
      <c r="F1048">
        <v>-0.95610139999999999</v>
      </c>
      <c r="G1048" s="154">
        <v>12.32723</v>
      </c>
    </row>
    <row r="1049" spans="1:7" x14ac:dyDescent="0.25">
      <c r="A1049" t="s">
        <v>173</v>
      </c>
      <c r="B1049" t="s">
        <v>442</v>
      </c>
      <c r="C1049" t="s">
        <v>2040</v>
      </c>
      <c r="D1049">
        <v>-3.4702739999999999</v>
      </c>
      <c r="E1049">
        <v>2.4517820000000001</v>
      </c>
      <c r="F1049">
        <v>-1.018492</v>
      </c>
      <c r="G1049" s="154">
        <v>12.034050000000001</v>
      </c>
    </row>
    <row r="1050" spans="1:7" x14ac:dyDescent="0.25">
      <c r="A1050" t="s">
        <v>173</v>
      </c>
      <c r="B1050" t="s">
        <v>442</v>
      </c>
      <c r="C1050" t="s">
        <v>2041</v>
      </c>
      <c r="D1050">
        <v>-3.8414969999999999</v>
      </c>
      <c r="E1050">
        <v>2.7870339999999998</v>
      </c>
      <c r="F1050">
        <v>-1.0544640000000001</v>
      </c>
      <c r="G1050" s="154">
        <v>12.247490000000001</v>
      </c>
    </row>
    <row r="1051" spans="1:7" x14ac:dyDescent="0.25">
      <c r="A1051" t="s">
        <v>173</v>
      </c>
      <c r="B1051" t="s">
        <v>442</v>
      </c>
      <c r="C1051" t="s">
        <v>2042</v>
      </c>
      <c r="D1051">
        <v>-3.8839779999999999</v>
      </c>
      <c r="E1051">
        <v>2.8574389999999998</v>
      </c>
      <c r="F1051">
        <v>-1.02654</v>
      </c>
      <c r="G1051" s="154">
        <v>11.994809999999999</v>
      </c>
    </row>
    <row r="1052" spans="1:7" x14ac:dyDescent="0.25">
      <c r="A1052" t="s">
        <v>173</v>
      </c>
      <c r="B1052" t="s">
        <v>442</v>
      </c>
      <c r="C1052" t="s">
        <v>2043</v>
      </c>
      <c r="D1052">
        <v>-3.6947969999999999</v>
      </c>
      <c r="E1052">
        <v>2.7664300000000002</v>
      </c>
      <c r="F1052">
        <v>-0.92836660000000004</v>
      </c>
      <c r="G1052" s="154">
        <v>12.270580000000001</v>
      </c>
    </row>
    <row r="1053" spans="1:7" x14ac:dyDescent="0.25">
      <c r="A1053" t="s">
        <v>173</v>
      </c>
      <c r="B1053" t="s">
        <v>442</v>
      </c>
      <c r="C1053" t="s">
        <v>2044</v>
      </c>
      <c r="D1053">
        <v>-3.7706</v>
      </c>
      <c r="E1053">
        <v>2.7664620000000002</v>
      </c>
      <c r="F1053">
        <v>-1.004138</v>
      </c>
      <c r="G1053" s="154">
        <v>12.34267</v>
      </c>
    </row>
    <row r="1054" spans="1:7" x14ac:dyDescent="0.25">
      <c r="A1054" t="s">
        <v>173</v>
      </c>
      <c r="B1054" t="s">
        <v>442</v>
      </c>
      <c r="C1054" t="s">
        <v>2045</v>
      </c>
      <c r="D1054">
        <v>-3.8627199999999999</v>
      </c>
      <c r="E1054">
        <v>2.8066689999999999</v>
      </c>
      <c r="F1054">
        <v>-1.056052</v>
      </c>
      <c r="G1054" s="154">
        <v>11.66037</v>
      </c>
    </row>
    <row r="1055" spans="1:7" x14ac:dyDescent="0.25">
      <c r="A1055" t="s">
        <v>173</v>
      </c>
      <c r="B1055" t="s">
        <v>442</v>
      </c>
      <c r="C1055" t="s">
        <v>2046</v>
      </c>
      <c r="D1055">
        <v>-3.8216540000000001</v>
      </c>
      <c r="E1055">
        <v>2.7561140000000002</v>
      </c>
      <c r="F1055">
        <v>-1.065539</v>
      </c>
      <c r="G1055" s="154">
        <v>11.75287</v>
      </c>
    </row>
    <row r="1056" spans="1:7" x14ac:dyDescent="0.25">
      <c r="A1056" t="s">
        <v>173</v>
      </c>
      <c r="B1056" t="s">
        <v>442</v>
      </c>
      <c r="C1056" t="s">
        <v>2047</v>
      </c>
      <c r="D1056">
        <v>-3.5035099999999999</v>
      </c>
      <c r="E1056">
        <v>2.4912019999999999</v>
      </c>
      <c r="F1056">
        <v>-1.012308</v>
      </c>
      <c r="G1056" s="154">
        <v>12.30048</v>
      </c>
    </row>
    <row r="1057" spans="1:7" x14ac:dyDescent="0.25">
      <c r="A1057" t="s">
        <v>173</v>
      </c>
      <c r="B1057" t="s">
        <v>442</v>
      </c>
      <c r="C1057" t="s">
        <v>2048</v>
      </c>
      <c r="D1057">
        <v>-3.7217690000000001</v>
      </c>
      <c r="E1057">
        <v>2.7512850000000002</v>
      </c>
      <c r="F1057">
        <v>-0.97048400000000001</v>
      </c>
      <c r="G1057" s="154">
        <v>12.53129</v>
      </c>
    </row>
    <row r="1058" spans="1:7" x14ac:dyDescent="0.25">
      <c r="A1058" t="s">
        <v>173</v>
      </c>
      <c r="B1058" t="s">
        <v>442</v>
      </c>
      <c r="C1058" t="s">
        <v>2049</v>
      </c>
      <c r="D1058">
        <v>-3.6430600000000002</v>
      </c>
      <c r="E1058">
        <v>2.8156819999999998</v>
      </c>
      <c r="F1058">
        <v>-0.82737839999999996</v>
      </c>
      <c r="G1058" s="154">
        <v>12.636620000000001</v>
      </c>
    </row>
    <row r="1059" spans="1:7" x14ac:dyDescent="0.25">
      <c r="A1059" t="s">
        <v>173</v>
      </c>
      <c r="B1059" t="s">
        <v>442</v>
      </c>
      <c r="C1059" t="s">
        <v>2050</v>
      </c>
      <c r="D1059">
        <v>-4.4766830000000004</v>
      </c>
      <c r="E1059">
        <v>2.8070210000000002</v>
      </c>
      <c r="F1059">
        <v>-1.669662</v>
      </c>
      <c r="G1059" s="154">
        <v>12.225529999999999</v>
      </c>
    </row>
    <row r="1060" spans="1:7" x14ac:dyDescent="0.25">
      <c r="A1060" t="s">
        <v>173</v>
      </c>
      <c r="B1060" t="s">
        <v>442</v>
      </c>
      <c r="C1060" t="s">
        <v>2051</v>
      </c>
      <c r="D1060">
        <v>-3.692517</v>
      </c>
      <c r="E1060">
        <v>2.793555</v>
      </c>
      <c r="F1060">
        <v>-0.89896240000000005</v>
      </c>
      <c r="G1060" s="154">
        <v>12.52074</v>
      </c>
    </row>
    <row r="1061" spans="1:7" x14ac:dyDescent="0.25">
      <c r="A1061" t="s">
        <v>173</v>
      </c>
      <c r="B1061" t="s">
        <v>442</v>
      </c>
      <c r="C1061" t="s">
        <v>2052</v>
      </c>
      <c r="D1061">
        <v>-3.9732470000000002</v>
      </c>
      <c r="E1061">
        <v>2.7428149999999998</v>
      </c>
      <c r="F1061">
        <v>-1.230432</v>
      </c>
      <c r="G1061" s="154">
        <v>11.61472</v>
      </c>
    </row>
    <row r="1062" spans="1:7" x14ac:dyDescent="0.25">
      <c r="A1062" t="s">
        <v>173</v>
      </c>
      <c r="B1062" t="s">
        <v>442</v>
      </c>
      <c r="C1062" t="s">
        <v>2053</v>
      </c>
      <c r="D1062">
        <v>-3.8167779999999998</v>
      </c>
      <c r="E1062">
        <v>2.7738</v>
      </c>
      <c r="F1062">
        <v>-1.042978</v>
      </c>
      <c r="G1062" s="154">
        <v>12.10295</v>
      </c>
    </row>
    <row r="1063" spans="1:7" x14ac:dyDescent="0.25">
      <c r="A1063" t="s">
        <v>173</v>
      </c>
      <c r="B1063" t="s">
        <v>442</v>
      </c>
      <c r="C1063" t="s">
        <v>2054</v>
      </c>
      <c r="D1063">
        <v>-3.2837619999999998</v>
      </c>
      <c r="E1063">
        <v>2.2715380000000001</v>
      </c>
      <c r="F1063">
        <v>-1.0122249999999999</v>
      </c>
      <c r="G1063" s="154">
        <v>12.397819999999999</v>
      </c>
    </row>
    <row r="1064" spans="1:7" x14ac:dyDescent="0.25">
      <c r="A1064" t="s">
        <v>173</v>
      </c>
      <c r="B1064" t="s">
        <v>442</v>
      </c>
      <c r="C1064" t="s">
        <v>2055</v>
      </c>
      <c r="D1064">
        <v>-3.6233659999999999</v>
      </c>
      <c r="E1064">
        <v>2.6957080000000002</v>
      </c>
      <c r="F1064">
        <v>-0.92765830000000005</v>
      </c>
      <c r="G1064" s="154">
        <v>12.270210000000001</v>
      </c>
    </row>
    <row r="1065" spans="1:7" x14ac:dyDescent="0.25">
      <c r="A1065" t="s">
        <v>173</v>
      </c>
      <c r="B1065" t="s">
        <v>442</v>
      </c>
      <c r="C1065" t="s">
        <v>2056</v>
      </c>
      <c r="D1065">
        <v>-3.6882269999999999</v>
      </c>
      <c r="E1065">
        <v>2.9823970000000002</v>
      </c>
      <c r="F1065">
        <v>-0.70583070000000003</v>
      </c>
      <c r="G1065" s="154">
        <v>11.824310000000001</v>
      </c>
    </row>
    <row r="1066" spans="1:7" x14ac:dyDescent="0.25">
      <c r="A1066" t="s">
        <v>173</v>
      </c>
      <c r="B1066" t="s">
        <v>442</v>
      </c>
      <c r="C1066" t="s">
        <v>2057</v>
      </c>
      <c r="D1066">
        <v>-3.5457830000000001</v>
      </c>
      <c r="E1066">
        <v>2.6591659999999999</v>
      </c>
      <c r="F1066">
        <v>-0.88661710000000005</v>
      </c>
      <c r="G1066" s="154">
        <v>12.52744</v>
      </c>
    </row>
    <row r="1067" spans="1:7" x14ac:dyDescent="0.25">
      <c r="A1067" t="s">
        <v>173</v>
      </c>
      <c r="B1067" t="s">
        <v>442</v>
      </c>
      <c r="C1067" t="s">
        <v>2058</v>
      </c>
      <c r="D1067">
        <v>-3.6177480000000002</v>
      </c>
      <c r="E1067">
        <v>2.6994039999999999</v>
      </c>
      <c r="F1067">
        <v>-0.9183443</v>
      </c>
      <c r="G1067" s="154">
        <v>12.499129999999999</v>
      </c>
    </row>
    <row r="1068" spans="1:7" x14ac:dyDescent="0.25">
      <c r="A1068" t="s">
        <v>173</v>
      </c>
      <c r="B1068" t="s">
        <v>442</v>
      </c>
      <c r="C1068" t="s">
        <v>2059</v>
      </c>
      <c r="D1068">
        <v>-3.7755839999999998</v>
      </c>
      <c r="E1068">
        <v>2.630042</v>
      </c>
      <c r="F1068">
        <v>-1.1455409999999999</v>
      </c>
      <c r="G1068" s="154">
        <v>11.88927</v>
      </c>
    </row>
    <row r="1069" spans="1:7" x14ac:dyDescent="0.25">
      <c r="A1069" t="s">
        <v>173</v>
      </c>
      <c r="B1069" t="s">
        <v>442</v>
      </c>
      <c r="C1069" t="s">
        <v>2060</v>
      </c>
      <c r="D1069">
        <v>-3.6548720000000001</v>
      </c>
      <c r="E1069">
        <v>2.641527</v>
      </c>
      <c r="F1069">
        <v>-1.0133449999999999</v>
      </c>
      <c r="G1069" s="154">
        <v>12.295439999999999</v>
      </c>
    </row>
    <row r="1070" spans="1:7" x14ac:dyDescent="0.25">
      <c r="A1070" t="s">
        <v>173</v>
      </c>
      <c r="B1070" t="s">
        <v>442</v>
      </c>
      <c r="C1070" t="s">
        <v>2061</v>
      </c>
      <c r="D1070">
        <v>-3.7414559999999999</v>
      </c>
      <c r="E1070">
        <v>2.7397480000000001</v>
      </c>
      <c r="F1070">
        <v>-1.001708</v>
      </c>
      <c r="G1070" s="154">
        <v>11.98854</v>
      </c>
    </row>
    <row r="1071" spans="1:7" x14ac:dyDescent="0.25">
      <c r="A1071" t="s">
        <v>173</v>
      </c>
      <c r="B1071" t="s">
        <v>442</v>
      </c>
      <c r="C1071" t="s">
        <v>2062</v>
      </c>
      <c r="D1071">
        <v>-3.6060050000000001</v>
      </c>
      <c r="E1071">
        <v>2.664526</v>
      </c>
      <c r="F1071">
        <v>-0.94147959999999997</v>
      </c>
      <c r="G1071" s="154">
        <v>12.257389999999999</v>
      </c>
    </row>
    <row r="1072" spans="1:7" x14ac:dyDescent="0.25">
      <c r="A1072" t="s">
        <v>173</v>
      </c>
      <c r="B1072" t="s">
        <v>442</v>
      </c>
      <c r="C1072" t="s">
        <v>2063</v>
      </c>
      <c r="D1072">
        <v>-3.8050579999999998</v>
      </c>
      <c r="E1072">
        <v>2.8595190000000001</v>
      </c>
      <c r="F1072">
        <v>-0.94553920000000002</v>
      </c>
      <c r="G1072" s="154">
        <v>12.17314</v>
      </c>
    </row>
    <row r="1073" spans="1:7" x14ac:dyDescent="0.25">
      <c r="A1073" t="s">
        <v>173</v>
      </c>
      <c r="B1073" t="s">
        <v>442</v>
      </c>
      <c r="C1073" t="s">
        <v>2064</v>
      </c>
      <c r="D1073">
        <v>-4.4340089999999996</v>
      </c>
      <c r="E1073">
        <v>2.8043439999999999</v>
      </c>
      <c r="F1073">
        <v>-1.6296649999999999</v>
      </c>
      <c r="G1073" s="154">
        <v>12.032360000000001</v>
      </c>
    </row>
    <row r="1074" spans="1:7" x14ac:dyDescent="0.25">
      <c r="A1074" t="s">
        <v>173</v>
      </c>
      <c r="B1074" t="s">
        <v>442</v>
      </c>
      <c r="C1074" t="s">
        <v>2065</v>
      </c>
      <c r="D1074">
        <v>-3.5355590000000001</v>
      </c>
      <c r="E1074">
        <v>2.5506720000000001</v>
      </c>
      <c r="F1074">
        <v>-0.98488679999999995</v>
      </c>
      <c r="G1074" s="154">
        <v>12.29158</v>
      </c>
    </row>
    <row r="1075" spans="1:7" x14ac:dyDescent="0.25">
      <c r="A1075" t="s">
        <v>173</v>
      </c>
      <c r="B1075" t="s">
        <v>442</v>
      </c>
      <c r="C1075" t="s">
        <v>2066</v>
      </c>
      <c r="D1075">
        <v>-3.761047</v>
      </c>
      <c r="E1075">
        <v>2.7964889999999998</v>
      </c>
      <c r="F1075">
        <v>-0.96455760000000001</v>
      </c>
      <c r="G1075" s="154">
        <v>12.265599999999999</v>
      </c>
    </row>
    <row r="1076" spans="1:7" x14ac:dyDescent="0.25">
      <c r="A1076" t="s">
        <v>173</v>
      </c>
      <c r="B1076" t="s">
        <v>442</v>
      </c>
      <c r="C1076" t="s">
        <v>2067</v>
      </c>
      <c r="D1076">
        <v>-3.5956730000000001</v>
      </c>
      <c r="E1076">
        <v>2.6286649999999998</v>
      </c>
      <c r="F1076">
        <v>-0.96700839999999999</v>
      </c>
      <c r="G1076" s="154">
        <v>12.12445</v>
      </c>
    </row>
    <row r="1077" spans="1:7" x14ac:dyDescent="0.25">
      <c r="A1077" t="s">
        <v>173</v>
      </c>
      <c r="B1077" t="s">
        <v>442</v>
      </c>
      <c r="C1077" t="s">
        <v>2068</v>
      </c>
      <c r="D1077">
        <v>-3.7717869999999998</v>
      </c>
      <c r="E1077">
        <v>2.7093889999999998</v>
      </c>
      <c r="F1077">
        <v>-1.062398</v>
      </c>
      <c r="G1077" s="154">
        <v>11.936170000000001</v>
      </c>
    </row>
    <row r="1078" spans="1:7" x14ac:dyDescent="0.25">
      <c r="A1078" t="s">
        <v>173</v>
      </c>
      <c r="B1078" t="s">
        <v>442</v>
      </c>
      <c r="C1078" t="s">
        <v>2069</v>
      </c>
      <c r="D1078">
        <v>-3.5102509999999998</v>
      </c>
      <c r="E1078">
        <v>2.5674610000000002</v>
      </c>
      <c r="F1078">
        <v>-0.94279080000000004</v>
      </c>
      <c r="G1078" s="154">
        <v>12.162140000000001</v>
      </c>
    </row>
    <row r="1079" spans="1:7" x14ac:dyDescent="0.25">
      <c r="A1079" t="s">
        <v>173</v>
      </c>
      <c r="B1079" t="s">
        <v>442</v>
      </c>
      <c r="C1079" t="s">
        <v>2070</v>
      </c>
      <c r="D1079">
        <v>-3.8743799999999999</v>
      </c>
      <c r="E1079">
        <v>2.8451780000000002</v>
      </c>
      <c r="F1079">
        <v>-1.029202</v>
      </c>
      <c r="G1079" s="154">
        <v>11.869440000000001</v>
      </c>
    </row>
    <row r="1080" spans="1:7" x14ac:dyDescent="0.25">
      <c r="A1080" t="s">
        <v>173</v>
      </c>
      <c r="B1080" t="s">
        <v>442</v>
      </c>
      <c r="C1080" t="s">
        <v>2071</v>
      </c>
      <c r="D1080">
        <v>-4.5654880000000002</v>
      </c>
      <c r="E1080">
        <v>2.9619439999999999</v>
      </c>
      <c r="F1080">
        <v>-1.603545</v>
      </c>
      <c r="G1080" s="154">
        <v>11.66718</v>
      </c>
    </row>
    <row r="1081" spans="1:7" x14ac:dyDescent="0.25">
      <c r="A1081" t="s">
        <v>173</v>
      </c>
      <c r="B1081" t="s">
        <v>442</v>
      </c>
      <c r="C1081" t="s">
        <v>2072</v>
      </c>
      <c r="D1081">
        <v>-3.5851739999999999</v>
      </c>
      <c r="E1081">
        <v>2.696234</v>
      </c>
      <c r="F1081">
        <v>-0.88893990000000001</v>
      </c>
      <c r="G1081" s="154">
        <v>12.347300000000001</v>
      </c>
    </row>
    <row r="1082" spans="1:7" x14ac:dyDescent="0.25">
      <c r="A1082" t="s">
        <v>173</v>
      </c>
      <c r="B1082" t="s">
        <v>442</v>
      </c>
      <c r="C1082" t="s">
        <v>2073</v>
      </c>
      <c r="D1082">
        <v>-3.3751570000000002</v>
      </c>
      <c r="E1082">
        <v>2.4501300000000001</v>
      </c>
      <c r="F1082">
        <v>-0.92502740000000006</v>
      </c>
      <c r="G1082" s="154">
        <v>12.584619999999999</v>
      </c>
    </row>
    <row r="1083" spans="1:7" x14ac:dyDescent="0.25">
      <c r="A1083" t="s">
        <v>173</v>
      </c>
      <c r="B1083" t="s">
        <v>442</v>
      </c>
      <c r="C1083" t="s">
        <v>2074</v>
      </c>
      <c r="D1083">
        <v>-3.6904270000000001</v>
      </c>
      <c r="E1083">
        <v>2.7705129999999998</v>
      </c>
      <c r="F1083">
        <v>-0.91991449999999997</v>
      </c>
      <c r="G1083" s="154">
        <v>12.403589999999999</v>
      </c>
    </row>
    <row r="1084" spans="1:7" x14ac:dyDescent="0.25">
      <c r="A1084" t="s">
        <v>173</v>
      </c>
      <c r="B1084" t="s">
        <v>442</v>
      </c>
      <c r="C1084" t="s">
        <v>2075</v>
      </c>
      <c r="D1084">
        <v>-3.597845</v>
      </c>
      <c r="E1084">
        <v>2.613105</v>
      </c>
      <c r="F1084">
        <v>-0.98473999999999995</v>
      </c>
      <c r="G1084" s="154">
        <v>12.401070000000001</v>
      </c>
    </row>
    <row r="1085" spans="1:7" x14ac:dyDescent="0.25">
      <c r="A1085" t="s">
        <v>173</v>
      </c>
      <c r="B1085" t="s">
        <v>442</v>
      </c>
      <c r="C1085" t="s">
        <v>2076</v>
      </c>
      <c r="D1085">
        <v>-3.8837000000000002</v>
      </c>
      <c r="E1085">
        <v>2.6932079999999998</v>
      </c>
      <c r="F1085">
        <v>-1.190493</v>
      </c>
      <c r="G1085" s="154">
        <v>11.74295</v>
      </c>
    </row>
    <row r="1086" spans="1:7" x14ac:dyDescent="0.25">
      <c r="A1086" t="s">
        <v>173</v>
      </c>
      <c r="B1086" t="s">
        <v>442</v>
      </c>
      <c r="C1086" t="s">
        <v>2077</v>
      </c>
      <c r="D1086">
        <v>-3.812443</v>
      </c>
      <c r="E1086">
        <v>2.8442919999999998</v>
      </c>
      <c r="F1086">
        <v>-0.96815070000000003</v>
      </c>
      <c r="G1086" s="154">
        <v>12.295640000000001</v>
      </c>
    </row>
    <row r="1087" spans="1:7" x14ac:dyDescent="0.25">
      <c r="A1087" t="s">
        <v>173</v>
      </c>
      <c r="B1087" t="s">
        <v>442</v>
      </c>
      <c r="C1087" t="s">
        <v>2078</v>
      </c>
      <c r="D1087">
        <v>-3.2603569999999999</v>
      </c>
      <c r="E1087">
        <v>2.3940000000000001</v>
      </c>
      <c r="F1087">
        <v>-0.86635770000000001</v>
      </c>
      <c r="G1087" s="154">
        <v>12.26925</v>
      </c>
    </row>
    <row r="1088" spans="1:7" x14ac:dyDescent="0.25">
      <c r="A1088" t="s">
        <v>68</v>
      </c>
      <c r="B1088" t="s">
        <v>447</v>
      </c>
      <c r="C1088" t="s">
        <v>2079</v>
      </c>
      <c r="D1088">
        <v>-3.420623</v>
      </c>
      <c r="E1088">
        <v>0.67556830000000001</v>
      </c>
      <c r="F1088">
        <v>-2.7450549999999998</v>
      </c>
      <c r="G1088" s="154">
        <v>5.0160819999999999</v>
      </c>
    </row>
    <row r="1089" spans="1:7" x14ac:dyDescent="0.25">
      <c r="A1089" t="s">
        <v>68</v>
      </c>
      <c r="B1089" t="s">
        <v>447</v>
      </c>
      <c r="C1089" t="s">
        <v>2080</v>
      </c>
      <c r="D1089">
        <v>-3.090144</v>
      </c>
      <c r="E1089">
        <v>0.90767989999999998</v>
      </c>
      <c r="F1089">
        <v>-2.182464</v>
      </c>
      <c r="G1089" s="154">
        <v>4.2301450000000003</v>
      </c>
    </row>
    <row r="1090" spans="1:7" x14ac:dyDescent="0.25">
      <c r="A1090" t="s">
        <v>68</v>
      </c>
      <c r="B1090" t="s">
        <v>447</v>
      </c>
      <c r="C1090" t="s">
        <v>2081</v>
      </c>
      <c r="D1090">
        <v>-3.175265</v>
      </c>
      <c r="E1090">
        <v>0.65185530000000003</v>
      </c>
      <c r="F1090">
        <v>-2.5234100000000002</v>
      </c>
      <c r="G1090" s="154">
        <v>5.7307689999999996</v>
      </c>
    </row>
    <row r="1091" spans="1:7" x14ac:dyDescent="0.25">
      <c r="A1091" t="s">
        <v>68</v>
      </c>
      <c r="B1091" t="s">
        <v>447</v>
      </c>
      <c r="C1091" t="s">
        <v>1349</v>
      </c>
      <c r="D1091">
        <v>-3.3250259999999998</v>
      </c>
      <c r="E1091">
        <v>0.62793500000000002</v>
      </c>
      <c r="F1091">
        <v>-2.6970909999999999</v>
      </c>
      <c r="G1091" s="154">
        <v>5.304265</v>
      </c>
    </row>
    <row r="1092" spans="1:7" x14ac:dyDescent="0.25">
      <c r="A1092" t="s">
        <v>68</v>
      </c>
      <c r="B1092" t="s">
        <v>447</v>
      </c>
      <c r="C1092" t="s">
        <v>2082</v>
      </c>
      <c r="D1092">
        <v>-3.7776719999999999</v>
      </c>
      <c r="E1092">
        <v>0.59471540000000001</v>
      </c>
      <c r="F1092">
        <v>-3.1829559999999999</v>
      </c>
      <c r="G1092" s="154">
        <v>4.3370069999999998</v>
      </c>
    </row>
    <row r="1093" spans="1:7" x14ac:dyDescent="0.25">
      <c r="A1093" t="s">
        <v>68</v>
      </c>
      <c r="B1093" t="s">
        <v>447</v>
      </c>
      <c r="C1093" t="s">
        <v>2083</v>
      </c>
      <c r="D1093">
        <v>-2.946421</v>
      </c>
      <c r="E1093">
        <v>0.87042310000000001</v>
      </c>
      <c r="F1093">
        <v>-2.0759979999999998</v>
      </c>
      <c r="G1093" s="154">
        <v>6.6169669999999998</v>
      </c>
    </row>
    <row r="1094" spans="1:7" x14ac:dyDescent="0.25">
      <c r="A1094" t="s">
        <v>68</v>
      </c>
      <c r="B1094" t="s">
        <v>447</v>
      </c>
      <c r="C1094" t="s">
        <v>2084</v>
      </c>
      <c r="D1094">
        <v>-3.058751</v>
      </c>
      <c r="E1094">
        <v>0.68391930000000001</v>
      </c>
      <c r="F1094">
        <v>-2.3748309999999999</v>
      </c>
      <c r="G1094" s="154">
        <v>5.4452150000000001</v>
      </c>
    </row>
    <row r="1095" spans="1:7" x14ac:dyDescent="0.25">
      <c r="A1095" t="s">
        <v>68</v>
      </c>
      <c r="B1095" t="s">
        <v>447</v>
      </c>
      <c r="C1095" t="s">
        <v>1353</v>
      </c>
      <c r="D1095">
        <v>-2.970723</v>
      </c>
      <c r="E1095">
        <v>0.88179669999999999</v>
      </c>
      <c r="F1095">
        <v>-2.0889259999999998</v>
      </c>
      <c r="G1095" s="154">
        <v>6.1672770000000003</v>
      </c>
    </row>
  </sheetData>
  <customSheetViews>
    <customSheetView guid="{BF4B7214-A780-4E29-8376-D0EF10A37853}" topLeftCell="A1051">
      <selection activeCell="E36" sqref="E36"/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F1"/>
  </mergeCells>
  <pageMargins left="0.7" right="0.7" top="0.75" bottom="0.75" header="0.3" footer="0.3"/>
  <pageSetup orientation="portrait" horizontalDpi="1200" verticalDpi="12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G29"/>
  <sheetViews>
    <sheetView workbookViewId="0">
      <selection activeCell="B29" sqref="B29:C30"/>
    </sheetView>
  </sheetViews>
  <sheetFormatPr defaultRowHeight="15" x14ac:dyDescent="0.25"/>
  <cols>
    <col min="1" max="1" width="21" customWidth="1"/>
    <col min="2" max="6" width="17" style="145" customWidth="1"/>
    <col min="7" max="7" width="18" customWidth="1"/>
  </cols>
  <sheetData>
    <row r="1" spans="1:7" ht="45" x14ac:dyDescent="0.25">
      <c r="A1" s="8" t="s">
        <v>39</v>
      </c>
      <c r="B1" s="15" t="s">
        <v>1032</v>
      </c>
      <c r="C1" s="15" t="s">
        <v>1033</v>
      </c>
      <c r="D1" s="150" t="s">
        <v>1034</v>
      </c>
      <c r="E1" s="150" t="s">
        <v>1035</v>
      </c>
      <c r="F1" s="150" t="s">
        <v>1036</v>
      </c>
      <c r="G1" s="15" t="s">
        <v>1031</v>
      </c>
    </row>
    <row r="2" spans="1:7" x14ac:dyDescent="0.25">
      <c r="A2" s="77" t="s">
        <v>265</v>
      </c>
      <c r="B2" s="148" t="s">
        <v>28</v>
      </c>
      <c r="C2" s="148" t="s">
        <v>28</v>
      </c>
      <c r="D2" s="38">
        <v>37417.46484375</v>
      </c>
      <c r="E2" s="38">
        <v>70515.7265625</v>
      </c>
      <c r="F2" s="38">
        <v>63195.59765625</v>
      </c>
      <c r="G2" s="163">
        <v>0.53062581452076352</v>
      </c>
    </row>
    <row r="3" spans="1:7" x14ac:dyDescent="0.25">
      <c r="A3" s="75" t="s">
        <v>14</v>
      </c>
      <c r="B3" s="149" t="s">
        <v>28</v>
      </c>
      <c r="C3" s="149">
        <v>1</v>
      </c>
      <c r="D3" s="26">
        <v>9905.80078125</v>
      </c>
      <c r="E3" s="26">
        <v>105458.203125</v>
      </c>
      <c r="F3" s="26">
        <v>179706.28125</v>
      </c>
      <c r="G3" s="142">
        <v>9.3931059772643932E-2</v>
      </c>
    </row>
    <row r="4" spans="1:7" x14ac:dyDescent="0.25">
      <c r="A4" s="75" t="s">
        <v>142</v>
      </c>
      <c r="B4" s="149" t="s">
        <v>28</v>
      </c>
      <c r="C4" s="149" t="s">
        <v>28</v>
      </c>
      <c r="D4" s="26">
        <v>1937.626708984375</v>
      </c>
      <c r="E4" s="26">
        <v>43823.1015625</v>
      </c>
      <c r="F4" s="26">
        <v>30498.685546875</v>
      </c>
      <c r="G4" s="142">
        <v>4.4214732410506233E-2</v>
      </c>
    </row>
    <row r="5" spans="1:7" x14ac:dyDescent="0.25">
      <c r="A5" s="75" t="s">
        <v>4</v>
      </c>
      <c r="B5" s="149">
        <v>4.5685280114412308E-2</v>
      </c>
      <c r="C5" s="149">
        <v>0.71161049604415894</v>
      </c>
      <c r="D5" s="26">
        <v>1584.25146484375</v>
      </c>
      <c r="E5" s="26">
        <v>8530.8662109375</v>
      </c>
      <c r="F5" s="26"/>
      <c r="G5" s="142">
        <v>0.1857081597191815</v>
      </c>
    </row>
    <row r="6" spans="1:7" x14ac:dyDescent="0.25">
      <c r="A6" s="75" t="s">
        <v>15</v>
      </c>
      <c r="B6" s="149" t="s">
        <v>28</v>
      </c>
      <c r="C6" s="149">
        <v>1</v>
      </c>
      <c r="D6" s="26">
        <v>4230.01416015625</v>
      </c>
      <c r="E6" s="26">
        <v>30050.69921875</v>
      </c>
      <c r="F6" s="26">
        <v>16595.58984375</v>
      </c>
      <c r="G6" s="142">
        <v>0.14076258689904131</v>
      </c>
    </row>
    <row r="7" spans="1:7" x14ac:dyDescent="0.25">
      <c r="A7" s="75" t="s">
        <v>5</v>
      </c>
      <c r="B7" s="149">
        <v>0.127976194024086</v>
      </c>
      <c r="C7" s="149">
        <v>0.65146356821060181</v>
      </c>
      <c r="D7" s="26">
        <v>7901.8681640625</v>
      </c>
      <c r="E7" s="26">
        <v>27568.14453125</v>
      </c>
      <c r="F7" s="26">
        <v>15746.8232421875</v>
      </c>
      <c r="G7" s="142">
        <v>0.28663039527761108</v>
      </c>
    </row>
    <row r="8" spans="1:7" x14ac:dyDescent="0.25">
      <c r="A8" s="75" t="s">
        <v>57</v>
      </c>
      <c r="B8" s="149">
        <v>3.6036036908626556E-2</v>
      </c>
      <c r="C8" s="149">
        <v>1</v>
      </c>
      <c r="D8" s="26">
        <v>19031.732421875</v>
      </c>
      <c r="E8" s="26">
        <v>121129.2578125</v>
      </c>
      <c r="F8" s="26">
        <v>63199.73046875</v>
      </c>
      <c r="G8" s="142">
        <v>0.15711920278860167</v>
      </c>
    </row>
    <row r="9" spans="1:7" x14ac:dyDescent="0.25">
      <c r="A9" s="75" t="s">
        <v>25</v>
      </c>
      <c r="B9" s="149">
        <v>1.8604651093482971E-2</v>
      </c>
      <c r="C9" s="149">
        <v>0.34362933039665222</v>
      </c>
      <c r="D9" s="26">
        <v>2415.090576171875</v>
      </c>
      <c r="E9" s="26">
        <v>8620.3740234375</v>
      </c>
      <c r="F9" s="26">
        <v>7829.1171875</v>
      </c>
      <c r="G9" s="142">
        <v>0.28016076444080118</v>
      </c>
    </row>
    <row r="10" spans="1:7" x14ac:dyDescent="0.25">
      <c r="A10" s="75" t="s">
        <v>78</v>
      </c>
      <c r="B10" s="149">
        <v>0.104347825050354</v>
      </c>
      <c r="C10" s="149">
        <v>1</v>
      </c>
      <c r="D10" s="26">
        <v>12776.595703125</v>
      </c>
      <c r="E10" s="26">
        <v>38173.40625</v>
      </c>
      <c r="F10" s="26">
        <v>11033.7529296875</v>
      </c>
      <c r="G10" s="142">
        <v>0.33469886390148901</v>
      </c>
    </row>
    <row r="11" spans="1:7" x14ac:dyDescent="0.25">
      <c r="A11" s="75" t="s">
        <v>1023</v>
      </c>
      <c r="B11" s="149">
        <v>8.9108914136886597E-2</v>
      </c>
      <c r="C11" s="149">
        <v>0.32608696818351746</v>
      </c>
      <c r="D11" s="26">
        <v>6247.1796875</v>
      </c>
      <c r="E11" s="26">
        <v>9191.9462890625</v>
      </c>
      <c r="F11" s="26">
        <v>6932.47119140625</v>
      </c>
      <c r="G11" s="142">
        <v>0.67963622621832775</v>
      </c>
    </row>
    <row r="12" spans="1:7" x14ac:dyDescent="0.25">
      <c r="A12" s="75" t="s">
        <v>1022</v>
      </c>
      <c r="B12" s="149">
        <v>3.8961037993431091E-2</v>
      </c>
      <c r="C12" s="149">
        <v>1</v>
      </c>
      <c r="D12" s="26">
        <v>36097.64453125</v>
      </c>
      <c r="E12" s="26">
        <v>51546.1953125</v>
      </c>
      <c r="F12" s="26">
        <v>35246.3359375</v>
      </c>
      <c r="G12" s="142">
        <v>0.7002969726942444</v>
      </c>
    </row>
    <row r="13" spans="1:7" x14ac:dyDescent="0.25">
      <c r="A13" s="75" t="s">
        <v>17</v>
      </c>
      <c r="B13" s="149" t="s">
        <v>28</v>
      </c>
      <c r="C13" s="149">
        <v>1</v>
      </c>
      <c r="D13" s="26">
        <v>3753.49267578125</v>
      </c>
      <c r="E13" s="26">
        <v>344411.75</v>
      </c>
      <c r="F13" s="26">
        <v>230065</v>
      </c>
      <c r="G13" s="142">
        <v>1.0898271257531865E-2</v>
      </c>
    </row>
    <row r="14" spans="1:7" x14ac:dyDescent="0.25">
      <c r="A14" s="75" t="s">
        <v>319</v>
      </c>
      <c r="B14" s="149">
        <v>3.3689839765429497E-3</v>
      </c>
      <c r="C14" s="149" t="s">
        <v>28</v>
      </c>
      <c r="D14" s="26">
        <v>2947.053466796875</v>
      </c>
      <c r="E14" s="26">
        <v>25514.693359375</v>
      </c>
      <c r="F14" s="26">
        <v>17325.158203125</v>
      </c>
      <c r="G14" s="142">
        <v>0.11550416951078205</v>
      </c>
    </row>
    <row r="15" spans="1:7" x14ac:dyDescent="0.25">
      <c r="A15" s="75" t="s">
        <v>1024</v>
      </c>
      <c r="B15" s="149">
        <v>7.7519379556179047E-2</v>
      </c>
      <c r="C15" s="149">
        <v>0.74005305767059326</v>
      </c>
      <c r="D15" s="26">
        <v>1924.60107421875</v>
      </c>
      <c r="E15" s="26">
        <v>13085.2470703125</v>
      </c>
      <c r="F15" s="26">
        <v>10911.9873046875</v>
      </c>
      <c r="G15" s="142">
        <v>0.14708175274620833</v>
      </c>
    </row>
    <row r="16" spans="1:7" x14ac:dyDescent="0.25">
      <c r="A16" s="75" t="s">
        <v>1025</v>
      </c>
      <c r="B16" s="149" t="s">
        <v>28</v>
      </c>
      <c r="C16" s="149" t="s">
        <v>28</v>
      </c>
      <c r="D16" s="26">
        <v>2675.93505859375</v>
      </c>
      <c r="E16" s="26">
        <v>39346.76953125</v>
      </c>
      <c r="F16" s="26">
        <v>25115.884765625</v>
      </c>
      <c r="G16" s="142">
        <v>6.8009015491563241E-2</v>
      </c>
    </row>
    <row r="17" spans="1:7" x14ac:dyDescent="0.25">
      <c r="A17" s="75" t="s">
        <v>8</v>
      </c>
      <c r="B17" s="149">
        <v>0</v>
      </c>
      <c r="C17" s="149">
        <v>0.8928571343421936</v>
      </c>
      <c r="D17" s="26">
        <v>3118.3955078125</v>
      </c>
      <c r="E17" s="26">
        <v>17569.01171875</v>
      </c>
      <c r="F17" s="26">
        <v>14628.326171875</v>
      </c>
      <c r="G17" s="142">
        <v>0.17749407637337314</v>
      </c>
    </row>
    <row r="18" spans="1:7" x14ac:dyDescent="0.25">
      <c r="A18" s="75" t="s">
        <v>9</v>
      </c>
      <c r="B18" s="149">
        <v>0</v>
      </c>
      <c r="C18" s="149">
        <v>0.63849765062332153</v>
      </c>
      <c r="D18" s="26">
        <v>2768.63330078125</v>
      </c>
      <c r="E18" s="26">
        <v>17834.126953125</v>
      </c>
      <c r="F18" s="26"/>
      <c r="G18" s="142">
        <v>0.15524355680871241</v>
      </c>
    </row>
    <row r="19" spans="1:7" x14ac:dyDescent="0.25">
      <c r="A19" s="75" t="s">
        <v>10</v>
      </c>
      <c r="B19" s="149">
        <v>5.5248618125915527E-2</v>
      </c>
      <c r="C19" s="149">
        <v>0.70967739820480347</v>
      </c>
      <c r="D19" s="26">
        <v>3687.610107421875</v>
      </c>
      <c r="E19" s="26">
        <v>35844.55859375</v>
      </c>
      <c r="F19" s="26">
        <v>26235.154296875</v>
      </c>
      <c r="G19" s="142">
        <v>0.10287782168601907</v>
      </c>
    </row>
    <row r="20" spans="1:7" x14ac:dyDescent="0.25">
      <c r="A20" s="75" t="s">
        <v>53</v>
      </c>
      <c r="B20" s="149" t="s">
        <v>28</v>
      </c>
      <c r="C20" s="149">
        <v>1</v>
      </c>
      <c r="D20" s="26">
        <v>4095.55322265625</v>
      </c>
      <c r="E20" s="26">
        <v>21846.849609375</v>
      </c>
      <c r="F20" s="26">
        <v>8885.353515625</v>
      </c>
      <c r="G20" s="142">
        <v>0.1874665361773146</v>
      </c>
    </row>
    <row r="21" spans="1:7" x14ac:dyDescent="0.25">
      <c r="A21" s="75" t="s">
        <v>54</v>
      </c>
      <c r="B21" s="149">
        <v>0.20000000298023224</v>
      </c>
      <c r="C21" s="149" t="s">
        <v>28</v>
      </c>
      <c r="D21" s="26">
        <v>4769.0888671875</v>
      </c>
      <c r="E21" s="26">
        <v>18299.419921875</v>
      </c>
      <c r="F21" s="26">
        <v>17937.65625</v>
      </c>
      <c r="G21" s="142">
        <v>0.26061421004315904</v>
      </c>
    </row>
    <row r="22" spans="1:7" x14ac:dyDescent="0.25">
      <c r="A22" s="75" t="s">
        <v>11</v>
      </c>
      <c r="B22" s="149">
        <v>4.6875E-2</v>
      </c>
      <c r="C22" s="149">
        <v>0.5116279125213623</v>
      </c>
      <c r="D22" s="26">
        <v>12624.357421875</v>
      </c>
      <c r="E22" s="26">
        <v>322051.125</v>
      </c>
      <c r="F22" s="26">
        <v>523259.59375</v>
      </c>
      <c r="G22" s="142">
        <v>3.91998550598915E-2</v>
      </c>
    </row>
    <row r="23" spans="1:7" x14ac:dyDescent="0.25">
      <c r="A23" s="75" t="s">
        <v>74</v>
      </c>
      <c r="B23" s="149">
        <v>6.1320755630731583E-2</v>
      </c>
      <c r="C23" s="149">
        <v>0.86792451143264771</v>
      </c>
      <c r="D23" s="26">
        <v>2381.677001953125</v>
      </c>
      <c r="E23" s="26">
        <v>33029.01953125</v>
      </c>
      <c r="F23" s="26"/>
      <c r="G23" s="142">
        <v>7.2108619503516616E-2</v>
      </c>
    </row>
    <row r="24" spans="1:7" x14ac:dyDescent="0.25">
      <c r="A24" s="75" t="s">
        <v>116</v>
      </c>
      <c r="B24" s="149" t="s">
        <v>28</v>
      </c>
      <c r="C24" s="149"/>
      <c r="D24" s="26">
        <v>5135.36767578125</v>
      </c>
      <c r="E24" s="26">
        <v>41633.05859375</v>
      </c>
      <c r="F24" s="26">
        <v>28518.388671875</v>
      </c>
      <c r="G24" s="142">
        <v>0.12334831619966968</v>
      </c>
    </row>
    <row r="25" spans="1:7" x14ac:dyDescent="0.25">
      <c r="A25" s="75" t="s">
        <v>23</v>
      </c>
      <c r="B25" s="149" t="s">
        <v>28</v>
      </c>
      <c r="C25" s="149">
        <v>1</v>
      </c>
      <c r="D25" s="26">
        <v>1290.1427001953125</v>
      </c>
      <c r="E25" s="26">
        <v>46876</v>
      </c>
      <c r="F25" s="26"/>
      <c r="G25" s="142">
        <v>2.7522457125081331E-2</v>
      </c>
    </row>
    <row r="26" spans="1:7" x14ac:dyDescent="0.25">
      <c r="A26" s="75" t="s">
        <v>69</v>
      </c>
      <c r="B26" s="149">
        <v>0.15979380905628204</v>
      </c>
      <c r="C26" s="149">
        <v>0.48469388484954834</v>
      </c>
      <c r="D26" s="26">
        <v>3604.744140625</v>
      </c>
      <c r="E26" s="26">
        <v>26043.349609375</v>
      </c>
      <c r="F26" s="26">
        <v>19013.380859375</v>
      </c>
      <c r="G26" s="142">
        <v>0.13841323004500833</v>
      </c>
    </row>
    <row r="27" spans="1:7" x14ac:dyDescent="0.25">
      <c r="A27" s="75" t="s">
        <v>12</v>
      </c>
      <c r="B27" s="149">
        <v>1.3029315508902073E-2</v>
      </c>
      <c r="C27" s="149">
        <v>0.64367818832397461</v>
      </c>
      <c r="D27" s="26">
        <v>1521.7054443359375</v>
      </c>
      <c r="E27" s="26">
        <v>20682.337890625</v>
      </c>
      <c r="F27" s="26">
        <v>11124.4501953125</v>
      </c>
      <c r="G27" s="142">
        <v>7.3575117686560193E-2</v>
      </c>
    </row>
    <row r="28" spans="1:7" x14ac:dyDescent="0.25">
      <c r="A28" s="76" t="s">
        <v>13</v>
      </c>
      <c r="B28" s="147">
        <v>0.19230769574642181</v>
      </c>
      <c r="C28" s="147">
        <v>0.34196892380714417</v>
      </c>
      <c r="D28" s="43">
        <v>3547.262939453125</v>
      </c>
      <c r="E28" s="43">
        <v>23334.47265625</v>
      </c>
      <c r="F28" s="43">
        <v>14862.29296875</v>
      </c>
      <c r="G28" s="143">
        <v>0.15201813178764989</v>
      </c>
    </row>
    <row r="29" spans="1:7" x14ac:dyDescent="0.25">
      <c r="C29" s="169"/>
    </row>
  </sheetData>
  <customSheetViews>
    <customSheetView guid="{BF4B7214-A780-4E29-8376-D0EF10A37853}">
      <selection activeCell="C196" sqref="C196"/>
      <pageMargins left="0.7" right="0.7" top="0.75" bottom="0.75" header="0.3" footer="0.3"/>
      <pageSetup orientation="portrait" horizontalDpi="1200" verticalDpi="1200" r:id="rId1"/>
    </customSheetView>
  </customSheetViews>
  <pageMargins left="0.7" right="0.7" top="0.75" bottom="0.75" header="0.3" footer="0.3"/>
  <pageSetup orientation="portrait" horizontalDpi="1200" verticalDpi="12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176"/>
  <sheetViews>
    <sheetView topLeftCell="A134" workbookViewId="0">
      <selection activeCell="Y44" sqref="Y44"/>
    </sheetView>
  </sheetViews>
  <sheetFormatPr defaultRowHeight="15" x14ac:dyDescent="0.25"/>
  <cols>
    <col min="1" max="1" width="29.42578125" customWidth="1"/>
    <col min="2" max="2" width="14.28515625" customWidth="1"/>
    <col min="3" max="3" width="17.28515625" style="130" customWidth="1"/>
    <col min="4" max="4" width="21" style="130" customWidth="1"/>
  </cols>
  <sheetData>
    <row r="1" spans="1:5" ht="30" x14ac:dyDescent="0.25">
      <c r="A1" s="2" t="s">
        <v>608</v>
      </c>
      <c r="B1" s="2" t="s">
        <v>609</v>
      </c>
      <c r="C1" s="3" t="s">
        <v>617</v>
      </c>
      <c r="D1" s="131" t="s">
        <v>618</v>
      </c>
      <c r="E1" s="2"/>
    </row>
    <row r="2" spans="1:5" x14ac:dyDescent="0.25">
      <c r="A2" t="s">
        <v>221</v>
      </c>
      <c r="B2" t="s">
        <v>274</v>
      </c>
      <c r="C2" s="130">
        <v>8.8999995999999992</v>
      </c>
      <c r="D2" s="130">
        <v>36016.5</v>
      </c>
    </row>
    <row r="3" spans="1:5" x14ac:dyDescent="0.25">
      <c r="A3" t="s">
        <v>14</v>
      </c>
      <c r="B3" t="s">
        <v>270</v>
      </c>
      <c r="C3" s="130">
        <v>79.199996999999996</v>
      </c>
      <c r="D3" s="130">
        <v>7345.68</v>
      </c>
    </row>
    <row r="4" spans="1:5" x14ac:dyDescent="0.25">
      <c r="A4" t="s">
        <v>94</v>
      </c>
      <c r="B4" t="s">
        <v>266</v>
      </c>
      <c r="C4" s="130">
        <v>56.299999</v>
      </c>
      <c r="D4" s="130">
        <v>9243.3700000000008</v>
      </c>
    </row>
    <row r="5" spans="1:5" x14ac:dyDescent="0.25">
      <c r="A5" t="s">
        <v>159</v>
      </c>
      <c r="B5" t="s">
        <v>440</v>
      </c>
      <c r="C5" s="130">
        <v>4.4000000999999997</v>
      </c>
      <c r="D5" s="130">
        <v>57044.6</v>
      </c>
    </row>
    <row r="6" spans="1:5" x14ac:dyDescent="0.25">
      <c r="A6" t="s">
        <v>142</v>
      </c>
      <c r="B6" t="s">
        <v>272</v>
      </c>
      <c r="C6" s="130">
        <v>23</v>
      </c>
    </row>
    <row r="7" spans="1:5" x14ac:dyDescent="0.25">
      <c r="A7" t="s">
        <v>81</v>
      </c>
      <c r="B7" t="s">
        <v>273</v>
      </c>
      <c r="C7" s="130">
        <v>30.4</v>
      </c>
      <c r="D7" s="130">
        <v>7290.64</v>
      </c>
    </row>
    <row r="8" spans="1:5" x14ac:dyDescent="0.25">
      <c r="A8" t="s">
        <v>268</v>
      </c>
      <c r="B8" t="s">
        <v>269</v>
      </c>
      <c r="C8" s="130">
        <v>3.5</v>
      </c>
    </row>
    <row r="9" spans="1:5" x14ac:dyDescent="0.25">
      <c r="A9" t="s">
        <v>217</v>
      </c>
      <c r="B9" t="s">
        <v>271</v>
      </c>
      <c r="C9" s="130">
        <v>11.7</v>
      </c>
      <c r="D9" s="130">
        <v>19714.2</v>
      </c>
    </row>
    <row r="10" spans="1:5" x14ac:dyDescent="0.25">
      <c r="A10" t="s">
        <v>156</v>
      </c>
      <c r="B10" t="s">
        <v>275</v>
      </c>
      <c r="C10" s="130">
        <v>11.2</v>
      </c>
      <c r="D10" s="130">
        <v>42278.3</v>
      </c>
    </row>
    <row r="11" spans="1:5" x14ac:dyDescent="0.25">
      <c r="A11" t="s">
        <v>165</v>
      </c>
      <c r="B11" t="s">
        <v>276</v>
      </c>
      <c r="C11" s="130">
        <v>13.3</v>
      </c>
      <c r="D11" s="130">
        <v>43138.9</v>
      </c>
    </row>
    <row r="12" spans="1:5" x14ac:dyDescent="0.25">
      <c r="A12" t="s">
        <v>83</v>
      </c>
      <c r="B12" t="s">
        <v>277</v>
      </c>
      <c r="C12" s="130">
        <v>57.599997999999999</v>
      </c>
      <c r="D12" s="130">
        <v>15888.2</v>
      </c>
    </row>
    <row r="13" spans="1:5" x14ac:dyDescent="0.25">
      <c r="A13" t="s">
        <v>16</v>
      </c>
      <c r="B13" t="s">
        <v>295</v>
      </c>
      <c r="C13" s="130">
        <v>94.699996999999996</v>
      </c>
      <c r="D13" s="130">
        <v>736.84299999999996</v>
      </c>
    </row>
    <row r="14" spans="1:5" x14ac:dyDescent="0.25">
      <c r="A14" t="s">
        <v>158</v>
      </c>
      <c r="B14" t="s">
        <v>283</v>
      </c>
      <c r="C14" s="130">
        <v>14.3</v>
      </c>
      <c r="D14" s="130">
        <v>39497.5</v>
      </c>
    </row>
    <row r="15" spans="1:5" x14ac:dyDescent="0.25">
      <c r="A15" t="s">
        <v>62</v>
      </c>
      <c r="B15" t="s">
        <v>285</v>
      </c>
      <c r="C15" s="130">
        <v>89.900002000000001</v>
      </c>
      <c r="D15" s="130">
        <v>1686.55</v>
      </c>
    </row>
    <row r="16" spans="1:5" x14ac:dyDescent="0.25">
      <c r="A16" t="s">
        <v>57</v>
      </c>
      <c r="B16" t="s">
        <v>294</v>
      </c>
      <c r="C16" s="130">
        <v>90.400002000000001</v>
      </c>
      <c r="D16" s="130">
        <v>1527.86</v>
      </c>
    </row>
    <row r="17" spans="1:4" x14ac:dyDescent="0.25">
      <c r="A17" t="s">
        <v>4</v>
      </c>
      <c r="B17" t="s">
        <v>280</v>
      </c>
      <c r="C17" s="130">
        <v>85.300003000000004</v>
      </c>
      <c r="D17" s="130">
        <v>2363.83</v>
      </c>
    </row>
    <row r="18" spans="1:4" x14ac:dyDescent="0.25">
      <c r="A18" t="s">
        <v>106</v>
      </c>
      <c r="B18" t="s">
        <v>293</v>
      </c>
      <c r="C18" s="130">
        <v>11.6</v>
      </c>
      <c r="D18" s="130">
        <v>15738.3</v>
      </c>
    </row>
    <row r="19" spans="1:4" x14ac:dyDescent="0.25">
      <c r="A19" t="s">
        <v>230</v>
      </c>
      <c r="B19" t="s">
        <v>279</v>
      </c>
      <c r="C19" s="130">
        <v>3.8</v>
      </c>
      <c r="D19" s="130">
        <v>40658</v>
      </c>
    </row>
    <row r="20" spans="1:4" x14ac:dyDescent="0.25">
      <c r="A20" t="s">
        <v>219</v>
      </c>
      <c r="B20" t="s">
        <v>278</v>
      </c>
      <c r="C20" s="130">
        <v>14.2</v>
      </c>
      <c r="D20" s="130">
        <v>22705.200000000001</v>
      </c>
    </row>
    <row r="21" spans="1:4" x14ac:dyDescent="0.25">
      <c r="A21" t="s">
        <v>97</v>
      </c>
      <c r="B21" t="s">
        <v>288</v>
      </c>
      <c r="C21" s="130">
        <v>27.4</v>
      </c>
      <c r="D21" s="130">
        <v>9183.52</v>
      </c>
    </row>
    <row r="22" spans="1:4" x14ac:dyDescent="0.25">
      <c r="A22" t="s">
        <v>99</v>
      </c>
      <c r="B22" t="s">
        <v>282</v>
      </c>
      <c r="C22" s="130">
        <v>3.0999998999999998</v>
      </c>
      <c r="D22" s="130">
        <v>16868.5</v>
      </c>
    </row>
    <row r="23" spans="1:4" x14ac:dyDescent="0.25">
      <c r="A23" t="s">
        <v>210</v>
      </c>
      <c r="B23" t="s">
        <v>284</v>
      </c>
      <c r="C23" s="130">
        <v>30.6</v>
      </c>
      <c r="D23" s="130">
        <v>8438.06</v>
      </c>
    </row>
    <row r="24" spans="1:4" x14ac:dyDescent="0.25">
      <c r="A24" t="s">
        <v>89</v>
      </c>
      <c r="B24" t="s">
        <v>287</v>
      </c>
      <c r="C24" s="130">
        <v>59.799999</v>
      </c>
      <c r="D24" s="130">
        <v>5650.43</v>
      </c>
    </row>
    <row r="25" spans="1:4" x14ac:dyDescent="0.25">
      <c r="A25" t="s">
        <v>5</v>
      </c>
      <c r="B25" t="s">
        <v>290</v>
      </c>
      <c r="C25" s="130">
        <v>29.4</v>
      </c>
      <c r="D25" s="130">
        <v>14300.6</v>
      </c>
    </row>
    <row r="26" spans="1:4" x14ac:dyDescent="0.25">
      <c r="A26" t="s">
        <v>224</v>
      </c>
      <c r="B26" t="s">
        <v>281</v>
      </c>
      <c r="C26" s="130">
        <v>15.2</v>
      </c>
      <c r="D26" s="130">
        <v>15298.7</v>
      </c>
    </row>
    <row r="27" spans="1:4" x14ac:dyDescent="0.25">
      <c r="A27" t="s">
        <v>291</v>
      </c>
      <c r="B27" t="s">
        <v>292</v>
      </c>
      <c r="C27" s="130">
        <v>5.0999999000000003</v>
      </c>
      <c r="D27" s="130">
        <v>71080.2</v>
      </c>
    </row>
    <row r="28" spans="1:4" x14ac:dyDescent="0.25">
      <c r="A28" t="s">
        <v>85</v>
      </c>
      <c r="B28" t="s">
        <v>286</v>
      </c>
      <c r="C28" s="130">
        <v>72.5</v>
      </c>
      <c r="D28" s="130">
        <v>7490.48</v>
      </c>
    </row>
    <row r="29" spans="1:4" x14ac:dyDescent="0.25">
      <c r="A29" t="s">
        <v>15</v>
      </c>
      <c r="B29" t="s">
        <v>289</v>
      </c>
      <c r="C29" s="130">
        <v>39.5</v>
      </c>
      <c r="D29" s="130">
        <v>14443.4</v>
      </c>
    </row>
    <row r="30" spans="1:4" x14ac:dyDescent="0.25">
      <c r="A30" t="s">
        <v>162</v>
      </c>
      <c r="B30" t="s">
        <v>298</v>
      </c>
      <c r="C30" s="130">
        <v>9</v>
      </c>
      <c r="D30" s="130">
        <v>40588</v>
      </c>
    </row>
    <row r="31" spans="1:4" x14ac:dyDescent="0.25">
      <c r="A31" t="s">
        <v>172</v>
      </c>
      <c r="B31" t="s">
        <v>428</v>
      </c>
      <c r="C31" s="130">
        <v>15.3</v>
      </c>
      <c r="D31" s="130">
        <v>51292.6</v>
      </c>
    </row>
    <row r="32" spans="1:4" x14ac:dyDescent="0.25">
      <c r="A32" t="s">
        <v>137</v>
      </c>
      <c r="B32" t="s">
        <v>303</v>
      </c>
      <c r="C32" s="130">
        <v>26.6</v>
      </c>
      <c r="D32" s="130">
        <v>21099.200000000001</v>
      </c>
    </row>
    <row r="33" spans="1:4" x14ac:dyDescent="0.25">
      <c r="A33" t="s">
        <v>308</v>
      </c>
      <c r="B33" t="s">
        <v>309</v>
      </c>
      <c r="C33" s="130">
        <v>76.300003000000004</v>
      </c>
      <c r="D33" s="130">
        <v>2747</v>
      </c>
    </row>
    <row r="34" spans="1:4" x14ac:dyDescent="0.25">
      <c r="A34" t="s">
        <v>78</v>
      </c>
      <c r="B34" t="s">
        <v>297</v>
      </c>
      <c r="C34" s="130">
        <v>79.699996999999996</v>
      </c>
      <c r="D34" s="130">
        <v>2550.9299999999998</v>
      </c>
    </row>
    <row r="35" spans="1:4" x14ac:dyDescent="0.25">
      <c r="A35" t="s">
        <v>88</v>
      </c>
      <c r="B35" t="s">
        <v>306</v>
      </c>
      <c r="C35" s="130">
        <v>76.199996999999996</v>
      </c>
      <c r="D35" s="130">
        <v>5631.3</v>
      </c>
    </row>
    <row r="36" spans="1:4" x14ac:dyDescent="0.25">
      <c r="A36" t="s">
        <v>115</v>
      </c>
      <c r="B36" t="s">
        <v>305</v>
      </c>
      <c r="C36" s="130">
        <v>53.5</v>
      </c>
      <c r="D36" s="130">
        <v>11687.2</v>
      </c>
    </row>
    <row r="37" spans="1:4" x14ac:dyDescent="0.25">
      <c r="A37" t="s">
        <v>6</v>
      </c>
      <c r="B37" t="s">
        <v>299</v>
      </c>
      <c r="C37" s="130">
        <v>42.099997999999999</v>
      </c>
    </row>
    <row r="38" spans="1:4" x14ac:dyDescent="0.25">
      <c r="A38" t="s">
        <v>130</v>
      </c>
      <c r="B38" t="s">
        <v>307</v>
      </c>
      <c r="C38" s="130">
        <v>23.9</v>
      </c>
      <c r="D38" s="130">
        <v>13091.1</v>
      </c>
    </row>
    <row r="39" spans="1:4" x14ac:dyDescent="0.25">
      <c r="A39" t="s">
        <v>226</v>
      </c>
      <c r="B39" t="s">
        <v>311</v>
      </c>
      <c r="C39" s="130">
        <v>22.700001</v>
      </c>
      <c r="D39" s="130">
        <v>18796.2</v>
      </c>
    </row>
    <row r="40" spans="1:4" x14ac:dyDescent="0.25">
      <c r="A40" t="s">
        <v>300</v>
      </c>
      <c r="B40" t="s">
        <v>301</v>
      </c>
      <c r="C40" s="130">
        <v>8.6999998000000005</v>
      </c>
    </row>
    <row r="41" spans="1:4" x14ac:dyDescent="0.25">
      <c r="A41" t="s">
        <v>149</v>
      </c>
      <c r="B41" t="s">
        <v>312</v>
      </c>
      <c r="C41" s="130">
        <v>16.600000000000001</v>
      </c>
      <c r="D41" s="130">
        <v>29697.8</v>
      </c>
    </row>
    <row r="42" spans="1:4" x14ac:dyDescent="0.25">
      <c r="A42" t="s">
        <v>139</v>
      </c>
      <c r="B42" t="s">
        <v>313</v>
      </c>
      <c r="C42" s="130">
        <v>18.399999999999999</v>
      </c>
      <c r="D42" s="130">
        <v>26733.4</v>
      </c>
    </row>
    <row r="43" spans="1:4" x14ac:dyDescent="0.25">
      <c r="A43" t="s">
        <v>161</v>
      </c>
      <c r="B43" t="s">
        <v>333</v>
      </c>
      <c r="C43" s="130">
        <v>11.6</v>
      </c>
      <c r="D43" s="130">
        <v>41966.400000000001</v>
      </c>
    </row>
    <row r="44" spans="1:4" x14ac:dyDescent="0.25">
      <c r="A44" t="s">
        <v>207</v>
      </c>
      <c r="B44" t="s">
        <v>315</v>
      </c>
      <c r="C44" s="130">
        <v>42.400002000000001</v>
      </c>
    </row>
    <row r="45" spans="1:4" x14ac:dyDescent="0.25">
      <c r="A45" t="s">
        <v>211</v>
      </c>
      <c r="B45" t="s">
        <v>316</v>
      </c>
      <c r="C45" s="130">
        <v>30.9</v>
      </c>
      <c r="D45" s="130">
        <v>9628.92</v>
      </c>
    </row>
    <row r="46" spans="1:4" x14ac:dyDescent="0.25">
      <c r="A46" t="s">
        <v>171</v>
      </c>
      <c r="B46" t="s">
        <v>314</v>
      </c>
      <c r="C46" s="130">
        <v>9.1000004000000008</v>
      </c>
      <c r="D46" s="130">
        <v>41524.300000000003</v>
      </c>
    </row>
    <row r="47" spans="1:4" x14ac:dyDescent="0.25">
      <c r="A47" t="s">
        <v>119</v>
      </c>
      <c r="B47" t="s">
        <v>317</v>
      </c>
      <c r="C47" s="130">
        <v>40.299999</v>
      </c>
      <c r="D47" s="130">
        <v>11015.7</v>
      </c>
    </row>
    <row r="48" spans="1:4" x14ac:dyDescent="0.25">
      <c r="A48" t="s">
        <v>109</v>
      </c>
      <c r="B48" t="s">
        <v>267</v>
      </c>
      <c r="C48" s="130">
        <v>33</v>
      </c>
      <c r="D48" s="130">
        <v>12778.5</v>
      </c>
    </row>
    <row r="49" spans="1:4" x14ac:dyDescent="0.25">
      <c r="A49" t="s">
        <v>101</v>
      </c>
      <c r="B49" t="s">
        <v>318</v>
      </c>
      <c r="C49" s="130">
        <v>54.900002000000001</v>
      </c>
      <c r="D49" s="130">
        <v>9900.08</v>
      </c>
    </row>
    <row r="50" spans="1:4" x14ac:dyDescent="0.25">
      <c r="A50" t="s">
        <v>319</v>
      </c>
      <c r="B50" t="s">
        <v>320</v>
      </c>
      <c r="C50" s="130">
        <v>37.799999</v>
      </c>
      <c r="D50" s="130">
        <v>10685</v>
      </c>
    </row>
    <row r="51" spans="1:4" x14ac:dyDescent="0.25">
      <c r="A51" t="s">
        <v>151</v>
      </c>
      <c r="B51" t="s">
        <v>421</v>
      </c>
      <c r="C51" s="130">
        <v>17.5</v>
      </c>
      <c r="D51" s="130">
        <v>31198.400000000001</v>
      </c>
    </row>
    <row r="52" spans="1:4" x14ac:dyDescent="0.25">
      <c r="A52" t="s">
        <v>133</v>
      </c>
      <c r="B52" t="s">
        <v>324</v>
      </c>
      <c r="C52" s="130">
        <v>8.6000004000000008</v>
      </c>
      <c r="D52" s="130">
        <v>24194.7</v>
      </c>
    </row>
    <row r="53" spans="1:4" x14ac:dyDescent="0.25">
      <c r="A53" t="s">
        <v>49</v>
      </c>
      <c r="B53" t="s">
        <v>325</v>
      </c>
      <c r="C53" s="130">
        <v>91.800003000000004</v>
      </c>
      <c r="D53" s="130">
        <v>1218.33</v>
      </c>
    </row>
    <row r="54" spans="1:4" x14ac:dyDescent="0.25">
      <c r="A54" t="s">
        <v>163</v>
      </c>
      <c r="B54" t="s">
        <v>327</v>
      </c>
      <c r="C54" s="130">
        <v>13.6</v>
      </c>
      <c r="D54" s="130">
        <v>38103.800000000003</v>
      </c>
    </row>
    <row r="55" spans="1:4" x14ac:dyDescent="0.25">
      <c r="A55" t="s">
        <v>114</v>
      </c>
      <c r="B55" t="s">
        <v>326</v>
      </c>
      <c r="C55" s="130">
        <v>41.900002000000001</v>
      </c>
      <c r="D55" s="130">
        <v>7552.21</v>
      </c>
    </row>
    <row r="56" spans="1:4" x14ac:dyDescent="0.25">
      <c r="A56" t="s">
        <v>157</v>
      </c>
      <c r="B56" t="s">
        <v>328</v>
      </c>
      <c r="C56" s="130">
        <v>11.5</v>
      </c>
      <c r="D56" s="130">
        <v>36073.599999999999</v>
      </c>
    </row>
    <row r="57" spans="1:4" x14ac:dyDescent="0.25">
      <c r="A57" t="s">
        <v>213</v>
      </c>
      <c r="B57" t="s">
        <v>331</v>
      </c>
      <c r="C57" s="130">
        <v>54</v>
      </c>
      <c r="D57" s="130">
        <v>17996.7</v>
      </c>
    </row>
    <row r="58" spans="1:4" x14ac:dyDescent="0.25">
      <c r="A58" t="s">
        <v>166</v>
      </c>
      <c r="B58" t="s">
        <v>441</v>
      </c>
      <c r="C58" s="130">
        <v>14.6</v>
      </c>
      <c r="D58" s="130">
        <v>34693.9</v>
      </c>
    </row>
    <row r="59" spans="1:4" x14ac:dyDescent="0.25">
      <c r="A59" t="s">
        <v>79</v>
      </c>
      <c r="B59" t="s">
        <v>332</v>
      </c>
      <c r="C59" s="130">
        <v>61.099997999999999</v>
      </c>
      <c r="D59" s="130">
        <v>6690.88</v>
      </c>
    </row>
    <row r="60" spans="1:4" x14ac:dyDescent="0.25">
      <c r="A60" t="s">
        <v>60</v>
      </c>
      <c r="B60" t="s">
        <v>334</v>
      </c>
      <c r="C60" s="130">
        <v>81.699996999999996</v>
      </c>
      <c r="D60" s="130">
        <v>3638.47</v>
      </c>
    </row>
    <row r="61" spans="1:4" x14ac:dyDescent="0.25">
      <c r="A61" t="s">
        <v>322</v>
      </c>
      <c r="B61" t="s">
        <v>323</v>
      </c>
      <c r="C61" s="130">
        <v>77.800003000000004</v>
      </c>
      <c r="D61" s="130">
        <v>37478.800000000003</v>
      </c>
    </row>
    <row r="62" spans="1:4" x14ac:dyDescent="0.25">
      <c r="A62" t="s">
        <v>147</v>
      </c>
      <c r="B62" t="s">
        <v>335</v>
      </c>
      <c r="C62" s="130">
        <v>36.799999</v>
      </c>
      <c r="D62" s="130">
        <v>25391.4</v>
      </c>
    </row>
    <row r="63" spans="1:4" x14ac:dyDescent="0.25">
      <c r="A63" t="s">
        <v>212</v>
      </c>
      <c r="B63" t="s">
        <v>336</v>
      </c>
      <c r="C63" s="130">
        <v>24</v>
      </c>
      <c r="D63" s="130">
        <v>11785.5</v>
      </c>
    </row>
    <row r="64" spans="1:4" x14ac:dyDescent="0.25">
      <c r="A64" t="s">
        <v>7</v>
      </c>
      <c r="B64" t="s">
        <v>339</v>
      </c>
      <c r="C64" s="130">
        <v>54.299999</v>
      </c>
      <c r="D64" s="130">
        <v>6989.52</v>
      </c>
    </row>
    <row r="65" spans="1:4" x14ac:dyDescent="0.25">
      <c r="A65" t="s">
        <v>337</v>
      </c>
      <c r="B65" t="s">
        <v>338</v>
      </c>
      <c r="C65" s="130">
        <v>1.9</v>
      </c>
    </row>
    <row r="66" spans="1:4" x14ac:dyDescent="0.25">
      <c r="A66" t="s">
        <v>176</v>
      </c>
      <c r="B66" t="s">
        <v>340</v>
      </c>
      <c r="C66" s="130">
        <v>47.599997999999999</v>
      </c>
      <c r="D66" s="130">
        <v>6053.66</v>
      </c>
    </row>
    <row r="67" spans="1:4" x14ac:dyDescent="0.25">
      <c r="A67" t="s">
        <v>610</v>
      </c>
      <c r="B67" t="s">
        <v>343</v>
      </c>
      <c r="C67" s="130">
        <v>10.199999999999999</v>
      </c>
      <c r="D67" s="130">
        <v>50291.199999999997</v>
      </c>
    </row>
    <row r="68" spans="1:4" x14ac:dyDescent="0.25">
      <c r="A68" t="s">
        <v>87</v>
      </c>
      <c r="B68" t="s">
        <v>342</v>
      </c>
      <c r="C68" s="130">
        <v>55.700001</v>
      </c>
      <c r="D68" s="130">
        <v>4422.54</v>
      </c>
    </row>
    <row r="69" spans="1:4" x14ac:dyDescent="0.25">
      <c r="A69" t="s">
        <v>131</v>
      </c>
      <c r="B69" t="s">
        <v>310</v>
      </c>
      <c r="C69" s="130">
        <v>21.200001</v>
      </c>
      <c r="D69" s="130">
        <v>19946.2</v>
      </c>
    </row>
    <row r="70" spans="1:4" x14ac:dyDescent="0.25">
      <c r="A70" t="s">
        <v>70</v>
      </c>
      <c r="B70" t="s">
        <v>341</v>
      </c>
      <c r="C70" s="130">
        <v>79.5</v>
      </c>
      <c r="D70" s="130">
        <v>1574.51</v>
      </c>
    </row>
    <row r="71" spans="1:4" x14ac:dyDescent="0.25">
      <c r="A71" t="s">
        <v>135</v>
      </c>
      <c r="B71" t="s">
        <v>344</v>
      </c>
      <c r="C71" s="130">
        <v>11.7</v>
      </c>
      <c r="D71" s="130">
        <v>22146.1</v>
      </c>
    </row>
    <row r="72" spans="1:4" x14ac:dyDescent="0.25">
      <c r="A72" t="s">
        <v>9</v>
      </c>
      <c r="B72" t="s">
        <v>347</v>
      </c>
      <c r="C72" s="130">
        <v>60.599997999999999</v>
      </c>
      <c r="D72" s="130">
        <v>8856.2000000000007</v>
      </c>
    </row>
    <row r="73" spans="1:4" x14ac:dyDescent="0.25">
      <c r="A73" t="s">
        <v>222</v>
      </c>
      <c r="B73" t="s">
        <v>350</v>
      </c>
      <c r="C73" s="130">
        <v>14.6</v>
      </c>
    </row>
    <row r="74" spans="1:4" x14ac:dyDescent="0.25">
      <c r="A74" t="s">
        <v>8</v>
      </c>
      <c r="B74" t="s">
        <v>346</v>
      </c>
      <c r="C74" s="130">
        <v>81.900002000000001</v>
      </c>
      <c r="D74" s="130">
        <v>5050.1099999999997</v>
      </c>
    </row>
    <row r="75" spans="1:4" x14ac:dyDescent="0.25">
      <c r="A75" t="s">
        <v>167</v>
      </c>
      <c r="B75" t="s">
        <v>349</v>
      </c>
      <c r="C75" s="130">
        <v>16.399999999999999</v>
      </c>
      <c r="D75" s="130">
        <v>42918.6</v>
      </c>
    </row>
    <row r="76" spans="1:4" x14ac:dyDescent="0.25">
      <c r="A76" t="s">
        <v>105</v>
      </c>
      <c r="B76" t="s">
        <v>348</v>
      </c>
      <c r="C76" s="130">
        <v>46.799999</v>
      </c>
      <c r="D76" s="130">
        <v>15461.3</v>
      </c>
    </row>
    <row r="77" spans="1:4" x14ac:dyDescent="0.25">
      <c r="A77" t="s">
        <v>179</v>
      </c>
      <c r="B77" t="s">
        <v>345</v>
      </c>
      <c r="C77" s="130">
        <v>12.1</v>
      </c>
      <c r="D77" s="130">
        <v>38553.300000000003</v>
      </c>
    </row>
    <row r="78" spans="1:4" x14ac:dyDescent="0.25">
      <c r="A78" t="s">
        <v>153</v>
      </c>
      <c r="B78" t="s">
        <v>351</v>
      </c>
      <c r="C78" s="130">
        <v>12.6</v>
      </c>
      <c r="D78" s="130">
        <v>30599.8</v>
      </c>
    </row>
    <row r="79" spans="1:4" x14ac:dyDescent="0.25">
      <c r="A79" t="s">
        <v>155</v>
      </c>
      <c r="B79" t="s">
        <v>352</v>
      </c>
      <c r="C79" s="130">
        <v>24.799999</v>
      </c>
      <c r="D79" s="130">
        <v>33668.199999999997</v>
      </c>
    </row>
    <row r="80" spans="1:4" x14ac:dyDescent="0.25">
      <c r="A80" t="s">
        <v>123</v>
      </c>
      <c r="B80" t="s">
        <v>353</v>
      </c>
      <c r="C80" s="130">
        <v>40.599997999999999</v>
      </c>
      <c r="D80" s="130">
        <v>8421.42</v>
      </c>
    </row>
    <row r="81" spans="1:4" x14ac:dyDescent="0.25">
      <c r="A81" t="s">
        <v>108</v>
      </c>
      <c r="B81" t="s">
        <v>355</v>
      </c>
      <c r="C81" s="130">
        <v>15.9</v>
      </c>
      <c r="D81" s="130">
        <v>11340.2</v>
      </c>
    </row>
    <row r="82" spans="1:4" x14ac:dyDescent="0.25">
      <c r="A82" t="s">
        <v>174</v>
      </c>
      <c r="B82" t="s">
        <v>354</v>
      </c>
      <c r="C82" s="130">
        <v>11.9</v>
      </c>
      <c r="D82" s="130">
        <v>35006.199999999997</v>
      </c>
    </row>
    <row r="83" spans="1:4" x14ac:dyDescent="0.25">
      <c r="A83" t="s">
        <v>102</v>
      </c>
      <c r="B83" t="s">
        <v>356</v>
      </c>
      <c r="C83" s="130">
        <v>31.700001</v>
      </c>
      <c r="D83" s="130">
        <v>21505.7</v>
      </c>
    </row>
    <row r="84" spans="1:4" x14ac:dyDescent="0.25">
      <c r="A84" t="s">
        <v>10</v>
      </c>
      <c r="B84" t="s">
        <v>357</v>
      </c>
      <c r="C84" s="130">
        <v>63.400002000000001</v>
      </c>
      <c r="D84" s="130">
        <v>2108.9299999999998</v>
      </c>
    </row>
    <row r="85" spans="1:4" x14ac:dyDescent="0.25">
      <c r="A85" t="s">
        <v>61</v>
      </c>
      <c r="B85" t="s">
        <v>361</v>
      </c>
      <c r="C85" s="130">
        <v>49.200001</v>
      </c>
      <c r="D85" s="130">
        <v>2846.53</v>
      </c>
    </row>
    <row r="86" spans="1:4" x14ac:dyDescent="0.25">
      <c r="A86" t="s">
        <v>25</v>
      </c>
      <c r="B86" t="s">
        <v>296</v>
      </c>
      <c r="C86" s="130">
        <v>64.099997999999999</v>
      </c>
      <c r="D86" s="130">
        <v>2789.08</v>
      </c>
    </row>
    <row r="87" spans="1:4" x14ac:dyDescent="0.25">
      <c r="A87" t="s">
        <v>358</v>
      </c>
      <c r="B87" t="s">
        <v>359</v>
      </c>
      <c r="C87" s="130">
        <v>28.200001</v>
      </c>
      <c r="D87" s="130">
        <v>29494.9</v>
      </c>
    </row>
    <row r="88" spans="1:4" x14ac:dyDescent="0.25">
      <c r="A88" t="s">
        <v>453</v>
      </c>
      <c r="B88" t="s">
        <v>611</v>
      </c>
      <c r="C88" s="130">
        <v>25.5</v>
      </c>
      <c r="D88" s="130">
        <v>8291.2199999999993</v>
      </c>
    </row>
    <row r="89" spans="1:4" x14ac:dyDescent="0.25">
      <c r="A89" t="s">
        <v>154</v>
      </c>
      <c r="B89" t="s">
        <v>360</v>
      </c>
      <c r="C89" s="130">
        <v>3.2</v>
      </c>
      <c r="D89" s="130">
        <v>84187.7</v>
      </c>
    </row>
    <row r="90" spans="1:4" x14ac:dyDescent="0.25">
      <c r="A90" t="s">
        <v>64</v>
      </c>
      <c r="B90" t="s">
        <v>362</v>
      </c>
      <c r="C90" s="130">
        <v>88.300003000000004</v>
      </c>
      <c r="D90" s="130">
        <v>4388.17</v>
      </c>
    </row>
    <row r="91" spans="1:4" x14ac:dyDescent="0.25">
      <c r="A91" t="s">
        <v>134</v>
      </c>
      <c r="B91" t="s">
        <v>364</v>
      </c>
      <c r="C91" s="130">
        <v>38.700001</v>
      </c>
      <c r="D91" s="130">
        <v>16509</v>
      </c>
    </row>
    <row r="92" spans="1:4" x14ac:dyDescent="0.25">
      <c r="A92" t="s">
        <v>366</v>
      </c>
      <c r="B92" t="s">
        <v>367</v>
      </c>
      <c r="C92" s="130">
        <v>81.699996999999996</v>
      </c>
      <c r="D92" s="130">
        <v>782.38699999999994</v>
      </c>
    </row>
    <row r="93" spans="1:4" x14ac:dyDescent="0.25">
      <c r="A93" t="s">
        <v>214</v>
      </c>
      <c r="B93" t="s">
        <v>423</v>
      </c>
      <c r="C93" s="130">
        <v>11.9</v>
      </c>
      <c r="D93" s="130">
        <v>10242.1</v>
      </c>
    </row>
    <row r="94" spans="1:4" x14ac:dyDescent="0.25">
      <c r="A94" t="s">
        <v>86</v>
      </c>
      <c r="B94" t="s">
        <v>422</v>
      </c>
      <c r="C94" s="130">
        <v>43.599997999999999</v>
      </c>
      <c r="D94" s="130">
        <v>8862.16</v>
      </c>
    </row>
    <row r="95" spans="1:4" x14ac:dyDescent="0.25">
      <c r="A95" t="s">
        <v>71</v>
      </c>
      <c r="B95" t="s">
        <v>365</v>
      </c>
      <c r="C95" s="130">
        <v>69.5</v>
      </c>
      <c r="D95" s="130">
        <v>2367.9699999999998</v>
      </c>
    </row>
    <row r="96" spans="1:4" x14ac:dyDescent="0.25">
      <c r="A96" t="s">
        <v>124</v>
      </c>
      <c r="B96" t="s">
        <v>368</v>
      </c>
      <c r="C96" s="130">
        <v>11.1</v>
      </c>
      <c r="D96" s="130">
        <v>23553.9</v>
      </c>
    </row>
    <row r="97" spans="1:4" x14ac:dyDescent="0.25">
      <c r="A97" t="s">
        <v>180</v>
      </c>
      <c r="B97" t="s">
        <v>369</v>
      </c>
      <c r="C97" s="130">
        <v>8.8999995999999992</v>
      </c>
      <c r="D97" s="130">
        <v>86587.4</v>
      </c>
    </row>
    <row r="98" spans="1:4" x14ac:dyDescent="0.25">
      <c r="A98" t="s">
        <v>125</v>
      </c>
      <c r="B98" t="s">
        <v>363</v>
      </c>
      <c r="C98" s="130">
        <v>11.4</v>
      </c>
      <c r="D98" s="130">
        <v>21229.200000000001</v>
      </c>
    </row>
    <row r="99" spans="1:4" x14ac:dyDescent="0.25">
      <c r="A99" t="s">
        <v>612</v>
      </c>
      <c r="B99" t="s">
        <v>370</v>
      </c>
      <c r="C99" s="130">
        <v>7.5</v>
      </c>
      <c r="D99" s="130">
        <v>126975</v>
      </c>
    </row>
    <row r="100" spans="1:4" x14ac:dyDescent="0.25">
      <c r="A100" t="s">
        <v>95</v>
      </c>
      <c r="B100" t="s">
        <v>384</v>
      </c>
      <c r="C100" s="130">
        <v>53.299999</v>
      </c>
      <c r="D100" s="130">
        <v>6877.97</v>
      </c>
    </row>
    <row r="101" spans="1:4" x14ac:dyDescent="0.25">
      <c r="A101" t="s">
        <v>65</v>
      </c>
      <c r="B101" t="s">
        <v>381</v>
      </c>
      <c r="C101" s="130">
        <v>29.200001</v>
      </c>
      <c r="D101" s="130">
        <v>4146.33</v>
      </c>
    </row>
    <row r="102" spans="1:4" x14ac:dyDescent="0.25">
      <c r="A102" t="s">
        <v>56</v>
      </c>
      <c r="B102" t="s">
        <v>372</v>
      </c>
      <c r="C102" s="130">
        <v>86.400002000000001</v>
      </c>
      <c r="D102" s="130">
        <v>1377.81</v>
      </c>
    </row>
    <row r="103" spans="1:4" x14ac:dyDescent="0.25">
      <c r="A103" t="s">
        <v>120</v>
      </c>
      <c r="B103" t="s">
        <v>375</v>
      </c>
      <c r="C103" s="130">
        <v>38.299999</v>
      </c>
      <c r="D103" s="130">
        <v>11269.8</v>
      </c>
    </row>
    <row r="104" spans="1:4" x14ac:dyDescent="0.25">
      <c r="A104" t="s">
        <v>138</v>
      </c>
      <c r="B104" t="s">
        <v>380</v>
      </c>
      <c r="C104" s="130">
        <v>33.700001</v>
      </c>
      <c r="D104" s="130">
        <v>16143.8</v>
      </c>
    </row>
    <row r="105" spans="1:4" x14ac:dyDescent="0.25">
      <c r="A105" t="s">
        <v>118</v>
      </c>
      <c r="B105" t="s">
        <v>378</v>
      </c>
      <c r="C105" s="130">
        <v>27.700001</v>
      </c>
      <c r="D105" s="130">
        <v>3526.27</v>
      </c>
    </row>
    <row r="106" spans="1:4" x14ac:dyDescent="0.25">
      <c r="A106" t="s">
        <v>107</v>
      </c>
      <c r="B106" t="s">
        <v>371</v>
      </c>
      <c r="C106" s="130">
        <v>26.799999</v>
      </c>
      <c r="D106" s="130">
        <v>11708</v>
      </c>
    </row>
    <row r="107" spans="1:4" x14ac:dyDescent="0.25">
      <c r="A107" t="s">
        <v>53</v>
      </c>
      <c r="B107" t="s">
        <v>376</v>
      </c>
      <c r="C107" s="130">
        <v>82.900002000000001</v>
      </c>
      <c r="D107" s="130">
        <v>1606.93</v>
      </c>
    </row>
    <row r="108" spans="1:4" x14ac:dyDescent="0.25">
      <c r="A108" t="s">
        <v>178</v>
      </c>
      <c r="B108" t="s">
        <v>377</v>
      </c>
      <c r="C108" s="130">
        <v>13.3</v>
      </c>
      <c r="D108" s="130">
        <v>28398.3</v>
      </c>
    </row>
    <row r="109" spans="1:4" x14ac:dyDescent="0.25">
      <c r="A109" t="s">
        <v>233</v>
      </c>
      <c r="B109" t="s">
        <v>383</v>
      </c>
      <c r="C109" s="130">
        <v>17.700001</v>
      </c>
      <c r="D109" s="130">
        <v>14039.8</v>
      </c>
    </row>
    <row r="110" spans="1:4" x14ac:dyDescent="0.25">
      <c r="A110" t="s">
        <v>67</v>
      </c>
      <c r="B110" t="s">
        <v>382</v>
      </c>
      <c r="C110" s="130">
        <v>56.099997999999999</v>
      </c>
      <c r="D110" s="130">
        <v>8288.36</v>
      </c>
    </row>
    <row r="111" spans="1:4" x14ac:dyDescent="0.25">
      <c r="A111" t="s">
        <v>55</v>
      </c>
      <c r="B111" t="s">
        <v>385</v>
      </c>
      <c r="C111" s="130">
        <v>91.199996999999996</v>
      </c>
      <c r="D111" s="130">
        <v>971.21299999999997</v>
      </c>
    </row>
    <row r="112" spans="1:4" x14ac:dyDescent="0.25">
      <c r="A112" t="s">
        <v>126</v>
      </c>
      <c r="B112" t="s">
        <v>379</v>
      </c>
      <c r="C112" s="130">
        <v>20.6</v>
      </c>
      <c r="D112" s="130">
        <v>16193.8</v>
      </c>
    </row>
    <row r="113" spans="1:4" x14ac:dyDescent="0.25">
      <c r="A113" t="s">
        <v>50</v>
      </c>
      <c r="B113" t="s">
        <v>373</v>
      </c>
      <c r="C113" s="130">
        <v>83.900002000000001</v>
      </c>
      <c r="D113" s="130">
        <v>738.95500000000004</v>
      </c>
    </row>
    <row r="114" spans="1:4" x14ac:dyDescent="0.25">
      <c r="A114" t="s">
        <v>128</v>
      </c>
      <c r="B114" t="s">
        <v>374</v>
      </c>
      <c r="C114" s="130">
        <v>25.1</v>
      </c>
      <c r="D114" s="130">
        <v>21897.3</v>
      </c>
    </row>
    <row r="115" spans="1:4" x14ac:dyDescent="0.25">
      <c r="A115" t="s">
        <v>22</v>
      </c>
      <c r="B115" t="s">
        <v>386</v>
      </c>
      <c r="C115" s="130">
        <v>36.799999</v>
      </c>
      <c r="D115" s="130">
        <v>9135.85</v>
      </c>
    </row>
    <row r="116" spans="1:4" x14ac:dyDescent="0.25">
      <c r="A116" t="s">
        <v>218</v>
      </c>
      <c r="B116" t="s">
        <v>389</v>
      </c>
      <c r="C116" s="130">
        <v>16.200001</v>
      </c>
    </row>
    <row r="117" spans="1:4" x14ac:dyDescent="0.25">
      <c r="A117" t="s">
        <v>11</v>
      </c>
      <c r="B117" t="s">
        <v>392</v>
      </c>
      <c r="C117" s="130">
        <v>85.400002000000001</v>
      </c>
      <c r="D117" s="130">
        <v>883.98199999999997</v>
      </c>
    </row>
    <row r="118" spans="1:4" x14ac:dyDescent="0.25">
      <c r="A118" t="s">
        <v>84</v>
      </c>
      <c r="B118" t="s">
        <v>391</v>
      </c>
      <c r="C118" s="130">
        <v>54</v>
      </c>
      <c r="D118" s="130">
        <v>4254.09</v>
      </c>
    </row>
    <row r="119" spans="1:4" x14ac:dyDescent="0.25">
      <c r="A119" t="s">
        <v>164</v>
      </c>
      <c r="B119" t="s">
        <v>388</v>
      </c>
      <c r="C119" s="130">
        <v>15.3</v>
      </c>
      <c r="D119" s="130">
        <v>42452.6</v>
      </c>
    </row>
    <row r="120" spans="1:4" x14ac:dyDescent="0.25">
      <c r="A120" t="s">
        <v>175</v>
      </c>
      <c r="B120" t="s">
        <v>393</v>
      </c>
      <c r="C120" s="130">
        <v>6.9000000999999997</v>
      </c>
      <c r="D120" s="130">
        <v>62858</v>
      </c>
    </row>
    <row r="121" spans="1:4" x14ac:dyDescent="0.25">
      <c r="A121" t="s">
        <v>54</v>
      </c>
      <c r="B121" t="s">
        <v>387</v>
      </c>
      <c r="C121" s="130">
        <v>75.400002000000001</v>
      </c>
      <c r="D121" s="130">
        <v>2130.63</v>
      </c>
    </row>
    <row r="122" spans="1:4" x14ac:dyDescent="0.25">
      <c r="A122" t="s">
        <v>150</v>
      </c>
      <c r="B122" t="s">
        <v>390</v>
      </c>
      <c r="C122" s="130">
        <v>16.5</v>
      </c>
      <c r="D122" s="130">
        <v>32360.2</v>
      </c>
    </row>
    <row r="123" spans="1:4" x14ac:dyDescent="0.25">
      <c r="A123" t="s">
        <v>143</v>
      </c>
      <c r="B123" t="s">
        <v>394</v>
      </c>
      <c r="C123" s="130">
        <v>3.5</v>
      </c>
      <c r="D123" s="130">
        <v>46430.400000000001</v>
      </c>
    </row>
    <row r="124" spans="1:4" x14ac:dyDescent="0.25">
      <c r="A124" t="s">
        <v>74</v>
      </c>
      <c r="B124" t="s">
        <v>395</v>
      </c>
      <c r="C124" s="130">
        <v>64</v>
      </c>
      <c r="D124" s="130">
        <v>4360.3500000000004</v>
      </c>
    </row>
    <row r="125" spans="1:4" x14ac:dyDescent="0.25">
      <c r="A125" t="s">
        <v>127</v>
      </c>
      <c r="B125" t="s">
        <v>396</v>
      </c>
      <c r="C125" s="130">
        <v>31.9</v>
      </c>
      <c r="D125" s="130">
        <v>16655.2</v>
      </c>
    </row>
    <row r="126" spans="1:4" x14ac:dyDescent="0.25">
      <c r="A126" t="s">
        <v>116</v>
      </c>
      <c r="B126" t="s">
        <v>398</v>
      </c>
      <c r="C126" s="130">
        <v>51.799999</v>
      </c>
      <c r="D126" s="130">
        <v>11602.6</v>
      </c>
    </row>
    <row r="127" spans="1:4" x14ac:dyDescent="0.25">
      <c r="A127" t="s">
        <v>90</v>
      </c>
      <c r="B127" t="s">
        <v>399</v>
      </c>
      <c r="C127" s="130">
        <v>43.400002000000001</v>
      </c>
      <c r="D127" s="130">
        <v>6004.78</v>
      </c>
    </row>
    <row r="128" spans="1:4" x14ac:dyDescent="0.25">
      <c r="A128" t="s">
        <v>132</v>
      </c>
      <c r="B128" t="s">
        <v>400</v>
      </c>
      <c r="C128" s="130">
        <v>22.4</v>
      </c>
      <c r="D128" s="130">
        <v>22142.6</v>
      </c>
    </row>
    <row r="129" spans="1:4" x14ac:dyDescent="0.25">
      <c r="A129" t="s">
        <v>152</v>
      </c>
      <c r="B129" t="s">
        <v>402</v>
      </c>
      <c r="C129" s="130">
        <v>15.6</v>
      </c>
      <c r="D129" s="130">
        <v>33933.4</v>
      </c>
    </row>
    <row r="130" spans="1:4" x14ac:dyDescent="0.25">
      <c r="A130" t="s">
        <v>146</v>
      </c>
      <c r="B130" t="s">
        <v>401</v>
      </c>
      <c r="C130" s="130">
        <v>21.700001</v>
      </c>
      <c r="D130" s="130">
        <v>25096.3</v>
      </c>
    </row>
    <row r="131" spans="1:4" x14ac:dyDescent="0.25">
      <c r="A131" t="s">
        <v>100</v>
      </c>
      <c r="B131" t="s">
        <v>397</v>
      </c>
      <c r="C131" s="130">
        <v>48.700001</v>
      </c>
      <c r="D131" s="130">
        <v>7215.48</v>
      </c>
    </row>
    <row r="132" spans="1:4" x14ac:dyDescent="0.25">
      <c r="A132" t="s">
        <v>329</v>
      </c>
      <c r="B132" t="s">
        <v>330</v>
      </c>
      <c r="C132" s="130">
        <v>15.9</v>
      </c>
    </row>
    <row r="133" spans="1:4" x14ac:dyDescent="0.25">
      <c r="A133" t="s">
        <v>223</v>
      </c>
      <c r="B133" t="s">
        <v>403</v>
      </c>
      <c r="C133" s="130">
        <v>1.1000000000000001</v>
      </c>
      <c r="D133" s="130">
        <v>133713</v>
      </c>
    </row>
    <row r="134" spans="1:4" x14ac:dyDescent="0.25">
      <c r="A134" t="s">
        <v>110</v>
      </c>
      <c r="B134" t="s">
        <v>404</v>
      </c>
      <c r="C134" s="130">
        <v>32.700001</v>
      </c>
    </row>
    <row r="135" spans="1:4" x14ac:dyDescent="0.25">
      <c r="A135" t="s">
        <v>111</v>
      </c>
      <c r="B135" t="s">
        <v>405</v>
      </c>
      <c r="C135" s="130">
        <v>7.3000002000000004</v>
      </c>
      <c r="D135" s="130">
        <v>23184</v>
      </c>
    </row>
    <row r="136" spans="1:4" x14ac:dyDescent="0.25">
      <c r="A136" t="s">
        <v>23</v>
      </c>
      <c r="B136" t="s">
        <v>406</v>
      </c>
      <c r="C136" s="130">
        <v>92.599997999999999</v>
      </c>
      <c r="D136" s="130">
        <v>1378.63</v>
      </c>
    </row>
    <row r="137" spans="1:4" x14ac:dyDescent="0.25">
      <c r="A137" t="s">
        <v>144</v>
      </c>
      <c r="B137" t="s">
        <v>411</v>
      </c>
      <c r="C137" s="130">
        <v>8.1000004000000008</v>
      </c>
      <c r="D137" s="130">
        <v>50790.7</v>
      </c>
    </row>
    <row r="138" spans="1:4" x14ac:dyDescent="0.25">
      <c r="A138" t="s">
        <v>69</v>
      </c>
      <c r="B138" t="s">
        <v>412</v>
      </c>
      <c r="C138" s="130">
        <v>77.699996999999996</v>
      </c>
      <c r="D138" s="130">
        <v>2173.52</v>
      </c>
    </row>
    <row r="139" spans="1:4" x14ac:dyDescent="0.25">
      <c r="A139" t="s">
        <v>160</v>
      </c>
      <c r="B139" t="s">
        <v>416</v>
      </c>
      <c r="C139" s="130">
        <v>15.3</v>
      </c>
      <c r="D139" s="130">
        <v>71474.899999999994</v>
      </c>
    </row>
    <row r="140" spans="1:4" x14ac:dyDescent="0.25">
      <c r="A140" t="s">
        <v>51</v>
      </c>
      <c r="B140" t="s">
        <v>415</v>
      </c>
      <c r="C140" s="130">
        <v>92.400002000000001</v>
      </c>
      <c r="D140" s="130">
        <v>1585.96</v>
      </c>
    </row>
    <row r="141" spans="1:4" x14ac:dyDescent="0.25">
      <c r="A141" t="s">
        <v>239</v>
      </c>
      <c r="B141" t="s">
        <v>321</v>
      </c>
      <c r="C141" s="130">
        <v>41.799999</v>
      </c>
      <c r="D141" s="130">
        <v>7445.3</v>
      </c>
    </row>
    <row r="142" spans="1:4" x14ac:dyDescent="0.25">
      <c r="A142" t="s">
        <v>225</v>
      </c>
      <c r="B142" t="s">
        <v>408</v>
      </c>
      <c r="C142" s="130">
        <v>9.1999998000000005</v>
      </c>
    </row>
    <row r="143" spans="1:4" x14ac:dyDescent="0.25">
      <c r="A143" t="s">
        <v>234</v>
      </c>
      <c r="B143" t="s">
        <v>413</v>
      </c>
      <c r="C143" s="130">
        <v>30.4</v>
      </c>
      <c r="D143" s="130">
        <v>11586.8</v>
      </c>
    </row>
    <row r="144" spans="1:4" x14ac:dyDescent="0.25">
      <c r="A144" t="s">
        <v>409</v>
      </c>
      <c r="B144" t="s">
        <v>410</v>
      </c>
      <c r="C144" s="130">
        <v>27.5</v>
      </c>
      <c r="D144" s="130">
        <v>2837.11</v>
      </c>
    </row>
    <row r="145" spans="1:4" x14ac:dyDescent="0.25">
      <c r="A145" t="s">
        <v>177</v>
      </c>
      <c r="B145" t="s">
        <v>425</v>
      </c>
      <c r="C145" s="130">
        <v>17.5</v>
      </c>
      <c r="D145" s="130">
        <v>15174.5</v>
      </c>
    </row>
    <row r="146" spans="1:4" x14ac:dyDescent="0.25">
      <c r="A146" t="s">
        <v>417</v>
      </c>
      <c r="B146" t="s">
        <v>418</v>
      </c>
      <c r="C146" s="130">
        <v>15.4</v>
      </c>
      <c r="D146" s="130">
        <v>25537.200000000001</v>
      </c>
    </row>
    <row r="147" spans="1:4" x14ac:dyDescent="0.25">
      <c r="A147" t="s">
        <v>145</v>
      </c>
      <c r="B147" t="s">
        <v>419</v>
      </c>
      <c r="C147" s="130">
        <v>16.200001</v>
      </c>
      <c r="D147" s="130">
        <v>27394.400000000001</v>
      </c>
    </row>
    <row r="148" spans="1:4" x14ac:dyDescent="0.25">
      <c r="A148" t="s">
        <v>169</v>
      </c>
      <c r="B148" t="s">
        <v>427</v>
      </c>
      <c r="C148" s="130">
        <v>10.4</v>
      </c>
      <c r="D148" s="130">
        <v>41839.699999999997</v>
      </c>
    </row>
    <row r="149" spans="1:4" x14ac:dyDescent="0.25">
      <c r="A149" t="s">
        <v>24</v>
      </c>
      <c r="B149" t="s">
        <v>426</v>
      </c>
      <c r="C149" s="130">
        <v>22.200001</v>
      </c>
      <c r="D149" s="130">
        <v>5912.33</v>
      </c>
    </row>
    <row r="150" spans="1:4" x14ac:dyDescent="0.25">
      <c r="A150" t="s">
        <v>215</v>
      </c>
      <c r="B150" t="s">
        <v>414</v>
      </c>
      <c r="C150" s="130">
        <v>11.1</v>
      </c>
      <c r="D150" s="130">
        <v>23151.8</v>
      </c>
    </row>
    <row r="151" spans="1:4" x14ac:dyDescent="0.25">
      <c r="A151" t="s">
        <v>93</v>
      </c>
      <c r="B151" t="s">
        <v>429</v>
      </c>
      <c r="C151" s="130">
        <v>34.200001</v>
      </c>
    </row>
    <row r="152" spans="1:4" x14ac:dyDescent="0.25">
      <c r="A152" t="s">
        <v>613</v>
      </c>
      <c r="B152" t="s">
        <v>614</v>
      </c>
      <c r="C152" s="130">
        <v>5</v>
      </c>
    </row>
    <row r="153" spans="1:4" x14ac:dyDescent="0.25">
      <c r="A153" t="s">
        <v>52</v>
      </c>
      <c r="B153" t="s">
        <v>302</v>
      </c>
      <c r="C153" s="130">
        <v>93.900002000000001</v>
      </c>
      <c r="D153" s="130">
        <v>2003.4</v>
      </c>
    </row>
    <row r="154" spans="1:4" x14ac:dyDescent="0.25">
      <c r="A154" t="s">
        <v>59</v>
      </c>
      <c r="B154" t="s">
        <v>433</v>
      </c>
      <c r="C154" s="130">
        <v>89.099997999999999</v>
      </c>
      <c r="D154" s="130">
        <v>1285.8399999999999</v>
      </c>
    </row>
    <row r="155" spans="1:4" x14ac:dyDescent="0.25">
      <c r="A155" t="s">
        <v>117</v>
      </c>
      <c r="B155" t="s">
        <v>432</v>
      </c>
      <c r="C155" s="130">
        <v>56.299999</v>
      </c>
      <c r="D155" s="130">
        <v>13586.1</v>
      </c>
    </row>
    <row r="156" spans="1:4" x14ac:dyDescent="0.25">
      <c r="A156" t="s">
        <v>229</v>
      </c>
      <c r="B156" t="s">
        <v>430</v>
      </c>
      <c r="C156" s="130">
        <v>47.799999</v>
      </c>
      <c r="D156" s="130">
        <v>2320.33</v>
      </c>
    </row>
    <row r="157" spans="1:4" x14ac:dyDescent="0.25">
      <c r="A157" t="s">
        <v>104</v>
      </c>
      <c r="B157" t="s">
        <v>434</v>
      </c>
      <c r="C157" s="130">
        <v>56.299999</v>
      </c>
      <c r="D157" s="130">
        <v>5127.1099999999997</v>
      </c>
    </row>
    <row r="158" spans="1:4" x14ac:dyDescent="0.25">
      <c r="A158" t="s">
        <v>256</v>
      </c>
      <c r="B158" t="s">
        <v>435</v>
      </c>
      <c r="C158" s="130">
        <v>20.100000000000001</v>
      </c>
      <c r="D158" s="130">
        <v>29085.8</v>
      </c>
    </row>
    <row r="159" spans="1:4" x14ac:dyDescent="0.25">
      <c r="A159" t="s">
        <v>113</v>
      </c>
      <c r="B159" t="s">
        <v>436</v>
      </c>
      <c r="C159" s="130">
        <v>28.799999</v>
      </c>
      <c r="D159" s="130">
        <v>10611.9</v>
      </c>
    </row>
    <row r="160" spans="1:4" x14ac:dyDescent="0.25">
      <c r="A160" t="s">
        <v>121</v>
      </c>
      <c r="B160" t="s">
        <v>437</v>
      </c>
      <c r="C160" s="130">
        <v>37.099997999999999</v>
      </c>
      <c r="D160" s="130">
        <v>18167.5</v>
      </c>
    </row>
    <row r="161" spans="1:4" x14ac:dyDescent="0.25">
      <c r="A161" t="s">
        <v>615</v>
      </c>
      <c r="B161" t="s">
        <v>616</v>
      </c>
      <c r="C161" s="130">
        <v>3.7</v>
      </c>
      <c r="D161" s="130">
        <v>3488.66</v>
      </c>
    </row>
    <row r="162" spans="1:4" x14ac:dyDescent="0.25">
      <c r="A162" t="s">
        <v>12</v>
      </c>
      <c r="B162" t="s">
        <v>431</v>
      </c>
      <c r="C162" s="130">
        <v>89.5</v>
      </c>
      <c r="D162" s="130">
        <v>1654.49</v>
      </c>
    </row>
    <row r="163" spans="1:4" x14ac:dyDescent="0.25">
      <c r="A163" t="s">
        <v>13</v>
      </c>
      <c r="B163" t="s">
        <v>438</v>
      </c>
      <c r="C163" s="130">
        <v>76.400002000000001</v>
      </c>
      <c r="D163" s="130">
        <v>1334.14</v>
      </c>
    </row>
    <row r="164" spans="1:4" x14ac:dyDescent="0.25">
      <c r="A164" t="s">
        <v>80</v>
      </c>
      <c r="B164" t="s">
        <v>439</v>
      </c>
      <c r="C164" s="130">
        <v>18.799999</v>
      </c>
      <c r="D164" s="130">
        <v>8332.32</v>
      </c>
    </row>
    <row r="165" spans="1:4" x14ac:dyDescent="0.25">
      <c r="A165" t="s">
        <v>140</v>
      </c>
      <c r="B165" t="s">
        <v>443</v>
      </c>
      <c r="C165" s="130">
        <v>26.9</v>
      </c>
      <c r="D165" s="130">
        <v>17965.5</v>
      </c>
    </row>
    <row r="166" spans="1:4" x14ac:dyDescent="0.25">
      <c r="A166" t="s">
        <v>173</v>
      </c>
      <c r="B166" t="s">
        <v>442</v>
      </c>
      <c r="C166" s="130">
        <v>6.8000002000000004</v>
      </c>
      <c r="D166" s="130">
        <v>50859.4</v>
      </c>
    </row>
    <row r="167" spans="1:4" x14ac:dyDescent="0.25">
      <c r="A167" t="s">
        <v>209</v>
      </c>
      <c r="B167" t="s">
        <v>424</v>
      </c>
      <c r="C167" s="130">
        <v>20.5</v>
      </c>
      <c r="D167" s="130">
        <v>10271.4</v>
      </c>
    </row>
    <row r="168" spans="1:4" x14ac:dyDescent="0.25">
      <c r="A168" t="s">
        <v>136</v>
      </c>
      <c r="B168" t="s">
        <v>446</v>
      </c>
      <c r="C168" s="130">
        <v>41.599997999999999</v>
      </c>
      <c r="D168" s="130">
        <v>17642.400000000001</v>
      </c>
    </row>
    <row r="169" spans="1:4" x14ac:dyDescent="0.25">
      <c r="A169" t="s">
        <v>68</v>
      </c>
      <c r="B169" t="s">
        <v>447</v>
      </c>
      <c r="C169" s="130">
        <v>65.300003000000004</v>
      </c>
      <c r="D169" s="130">
        <v>4912.32</v>
      </c>
    </row>
    <row r="170" spans="1:4" x14ac:dyDescent="0.25">
      <c r="A170" t="s">
        <v>96</v>
      </c>
      <c r="B170" t="s">
        <v>444</v>
      </c>
      <c r="C170" s="130">
        <v>71.400002000000001</v>
      </c>
      <c r="D170" s="130">
        <v>2894.34</v>
      </c>
    </row>
    <row r="171" spans="1:4" x14ac:dyDescent="0.25">
      <c r="A171" t="s">
        <v>208</v>
      </c>
      <c r="B171" t="s">
        <v>448</v>
      </c>
      <c r="C171" s="130">
        <v>33.099997999999999</v>
      </c>
    </row>
    <row r="172" spans="1:4" x14ac:dyDescent="0.25">
      <c r="A172" t="s">
        <v>98</v>
      </c>
      <c r="B172" t="s">
        <v>407</v>
      </c>
      <c r="C172" s="130">
        <v>48.299999</v>
      </c>
      <c r="D172" s="130">
        <v>4934.9799999999996</v>
      </c>
    </row>
    <row r="173" spans="1:4" x14ac:dyDescent="0.25">
      <c r="A173" t="s">
        <v>72</v>
      </c>
      <c r="B173" t="s">
        <v>449</v>
      </c>
      <c r="C173" s="130">
        <v>34.099997999999999</v>
      </c>
      <c r="D173" s="130">
        <v>3996.39</v>
      </c>
    </row>
    <row r="174" spans="1:4" x14ac:dyDescent="0.25">
      <c r="A174" t="s">
        <v>122</v>
      </c>
      <c r="B174" t="s">
        <v>420</v>
      </c>
      <c r="C174" s="130">
        <v>14.7</v>
      </c>
      <c r="D174" s="130">
        <v>11988.8</v>
      </c>
    </row>
    <row r="175" spans="1:4" x14ac:dyDescent="0.25">
      <c r="A175" t="s">
        <v>63</v>
      </c>
      <c r="B175" t="s">
        <v>450</v>
      </c>
      <c r="C175" s="130">
        <v>82</v>
      </c>
      <c r="D175" s="130">
        <v>2990.05</v>
      </c>
    </row>
    <row r="176" spans="1:4" x14ac:dyDescent="0.25">
      <c r="A176" t="s">
        <v>75</v>
      </c>
      <c r="B176" t="s">
        <v>451</v>
      </c>
      <c r="C176" s="130">
        <v>62.299999</v>
      </c>
      <c r="D176" s="130">
        <v>1337.24</v>
      </c>
    </row>
  </sheetData>
  <customSheetViews>
    <customSheetView guid="{BF4B7214-A780-4E29-8376-D0EF10A37853}" topLeftCell="A134">
      <selection activeCell="C196" sqref="C196"/>
      <pageMargins left="0.7" right="0.7" top="0.75" bottom="0.75" header="0.3" footer="0.3"/>
      <pageSetup orientation="portrait" horizontalDpi="1200" verticalDpi="1200" r:id="rId1"/>
    </customSheetView>
  </customSheetViews>
  <pageMargins left="0.7" right="0.7" top="0.75" bottom="0.75" header="0.3" footer="0.3"/>
  <pageSetup orientation="portrait" horizontalDpi="1200" verticalDpi="12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I1521"/>
  <sheetViews>
    <sheetView topLeftCell="A1479" workbookViewId="0">
      <selection activeCell="Y44" sqref="Y44"/>
    </sheetView>
  </sheetViews>
  <sheetFormatPr defaultRowHeight="15" x14ac:dyDescent="0.25"/>
  <cols>
    <col min="1" max="1" width="13.28515625" customWidth="1"/>
    <col min="2" max="2" width="16.5703125" customWidth="1"/>
    <col min="4" max="4" width="17.5703125" style="130" customWidth="1"/>
    <col min="5" max="5" width="19.140625" style="130" customWidth="1"/>
    <col min="6" max="6" width="21.28515625" style="130" customWidth="1"/>
    <col min="7" max="7" width="12.85546875" style="130" customWidth="1"/>
  </cols>
  <sheetData>
    <row r="1" spans="1:9" ht="45" x14ac:dyDescent="0.25">
      <c r="A1" s="2" t="s">
        <v>609</v>
      </c>
      <c r="B1" s="2" t="s">
        <v>608</v>
      </c>
      <c r="C1" s="2" t="s">
        <v>3</v>
      </c>
      <c r="D1" s="3" t="s">
        <v>617</v>
      </c>
      <c r="E1" s="3" t="s">
        <v>619</v>
      </c>
      <c r="F1" s="131" t="s">
        <v>618</v>
      </c>
      <c r="G1" s="131" t="s">
        <v>620</v>
      </c>
      <c r="H1" s="14" t="s">
        <v>1029</v>
      </c>
      <c r="I1" s="1" t="s">
        <v>1030</v>
      </c>
    </row>
    <row r="2" spans="1:9" x14ac:dyDescent="0.25">
      <c r="A2" t="s">
        <v>275</v>
      </c>
      <c r="B2" t="s">
        <v>156</v>
      </c>
      <c r="C2">
        <v>1990</v>
      </c>
      <c r="D2" s="130">
        <v>15.1</v>
      </c>
      <c r="F2" s="130">
        <v>28335.3</v>
      </c>
      <c r="H2" s="16">
        <v>8500000</v>
      </c>
    </row>
    <row r="3" spans="1:9" x14ac:dyDescent="0.25">
      <c r="A3" t="s">
        <v>275</v>
      </c>
      <c r="B3" t="s">
        <v>156</v>
      </c>
      <c r="C3">
        <v>1991</v>
      </c>
      <c r="D3" s="130">
        <v>15.7</v>
      </c>
      <c r="E3" s="130">
        <v>0.59999939999999996</v>
      </c>
      <c r="F3" s="130">
        <v>27878.3</v>
      </c>
      <c r="G3" s="130">
        <v>-1.6262100000000002E-2</v>
      </c>
      <c r="H3" s="16">
        <v>8500000</v>
      </c>
      <c r="I3">
        <v>5.3812E-3</v>
      </c>
    </row>
    <row r="4" spans="1:9" x14ac:dyDescent="0.25">
      <c r="A4" t="s">
        <v>275</v>
      </c>
      <c r="B4" t="s">
        <v>156</v>
      </c>
      <c r="C4">
        <v>1992</v>
      </c>
      <c r="D4" s="130">
        <v>16.100000000000001</v>
      </c>
      <c r="E4" s="130">
        <v>0.40000059999999998</v>
      </c>
      <c r="F4" s="130">
        <v>27660</v>
      </c>
      <c r="G4" s="130">
        <v>-7.8601999999999995E-3</v>
      </c>
      <c r="H4" s="16">
        <v>8600000</v>
      </c>
      <c r="I4">
        <v>8.8506000000000001E-3</v>
      </c>
    </row>
    <row r="5" spans="1:9" x14ac:dyDescent="0.25">
      <c r="A5" t="s">
        <v>275</v>
      </c>
      <c r="B5" t="s">
        <v>156</v>
      </c>
      <c r="C5">
        <v>1993</v>
      </c>
      <c r="D5" s="130">
        <v>16.5</v>
      </c>
      <c r="E5" s="130">
        <v>0.39999960000000001</v>
      </c>
      <c r="F5" s="130">
        <v>28516.7</v>
      </c>
      <c r="G5" s="130">
        <v>3.05023E-2</v>
      </c>
      <c r="H5" s="16">
        <v>8700000</v>
      </c>
      <c r="I5">
        <v>6.1060000000000003E-3</v>
      </c>
    </row>
    <row r="6" spans="1:9" x14ac:dyDescent="0.25">
      <c r="A6" t="s">
        <v>275</v>
      </c>
      <c r="B6" t="s">
        <v>156</v>
      </c>
      <c r="C6">
        <v>1994</v>
      </c>
      <c r="D6" s="130">
        <v>15.9</v>
      </c>
      <c r="E6" s="130">
        <v>-0.60000039999999999</v>
      </c>
      <c r="F6" s="130">
        <v>29358.799999999999</v>
      </c>
      <c r="G6" s="130">
        <v>2.9101399999999999E-2</v>
      </c>
      <c r="H6" s="16">
        <v>8800000</v>
      </c>
      <c r="I6">
        <v>1.84519E-2</v>
      </c>
    </row>
    <row r="7" spans="1:9" x14ac:dyDescent="0.25">
      <c r="A7" t="s">
        <v>275</v>
      </c>
      <c r="B7" t="s">
        <v>156</v>
      </c>
      <c r="C7">
        <v>1995</v>
      </c>
      <c r="D7" s="130">
        <v>15.4</v>
      </c>
      <c r="E7" s="130">
        <v>-0.5</v>
      </c>
      <c r="F7" s="130">
        <v>30163.5</v>
      </c>
      <c r="G7" s="130">
        <v>2.70414E-2</v>
      </c>
      <c r="H7" s="16">
        <v>9000000</v>
      </c>
      <c r="I7">
        <v>2.5597100000000001E-2</v>
      </c>
    </row>
    <row r="8" spans="1:9" x14ac:dyDescent="0.25">
      <c r="A8" t="s">
        <v>275</v>
      </c>
      <c r="B8" t="s">
        <v>156</v>
      </c>
      <c r="C8">
        <v>1996</v>
      </c>
      <c r="D8" s="130">
        <v>15.1</v>
      </c>
      <c r="E8" s="130">
        <v>-0.29999920000000002</v>
      </c>
      <c r="F8" s="130">
        <v>30958.7</v>
      </c>
      <c r="G8" s="130">
        <v>2.6020999999999999E-2</v>
      </c>
      <c r="H8" s="16">
        <v>9200000</v>
      </c>
      <c r="I8">
        <v>1.23552E-2</v>
      </c>
    </row>
    <row r="9" spans="1:9" x14ac:dyDescent="0.25">
      <c r="A9" t="s">
        <v>275</v>
      </c>
      <c r="B9" t="s">
        <v>156</v>
      </c>
      <c r="C9">
        <v>1997</v>
      </c>
      <c r="D9" s="130">
        <v>15.1</v>
      </c>
      <c r="E9" s="130">
        <v>0</v>
      </c>
      <c r="F9" s="130">
        <v>31808.400000000001</v>
      </c>
      <c r="G9" s="130">
        <v>2.7076699999999999E-2</v>
      </c>
      <c r="H9" s="16">
        <v>9200000</v>
      </c>
      <c r="I9">
        <v>8.9171000000000007E-3</v>
      </c>
    </row>
    <row r="10" spans="1:9" x14ac:dyDescent="0.25">
      <c r="A10" t="s">
        <v>275</v>
      </c>
      <c r="B10" t="s">
        <v>156</v>
      </c>
      <c r="C10">
        <v>1998</v>
      </c>
      <c r="D10" s="130">
        <v>14.6</v>
      </c>
      <c r="E10" s="130">
        <v>-0.5</v>
      </c>
      <c r="F10" s="130">
        <v>32902.800000000003</v>
      </c>
      <c r="G10" s="130">
        <v>3.3825899999999999E-2</v>
      </c>
      <c r="H10" s="16">
        <v>9300000</v>
      </c>
      <c r="I10">
        <v>1.1840099999999999E-2</v>
      </c>
    </row>
    <row r="11" spans="1:9" x14ac:dyDescent="0.25">
      <c r="A11" t="s">
        <v>275</v>
      </c>
      <c r="B11" t="s">
        <v>156</v>
      </c>
      <c r="C11">
        <v>1999</v>
      </c>
      <c r="D11" s="130">
        <v>14.5</v>
      </c>
      <c r="E11" s="130">
        <v>-0.1000004</v>
      </c>
      <c r="F11" s="130">
        <v>34140.6</v>
      </c>
      <c r="G11" s="130">
        <v>3.69301E-2</v>
      </c>
      <c r="H11" s="16">
        <v>9400000</v>
      </c>
      <c r="I11">
        <v>1.14909E-2</v>
      </c>
    </row>
    <row r="12" spans="1:9" x14ac:dyDescent="0.25">
      <c r="A12" t="s">
        <v>275</v>
      </c>
      <c r="B12" t="s">
        <v>156</v>
      </c>
      <c r="C12">
        <v>2000</v>
      </c>
      <c r="D12" s="130">
        <v>14.1</v>
      </c>
      <c r="E12" s="130">
        <v>-0.39999960000000001</v>
      </c>
      <c r="F12" s="130">
        <v>35033.4</v>
      </c>
      <c r="G12" s="130">
        <v>2.58169E-2</v>
      </c>
      <c r="H12" s="16">
        <v>9600000</v>
      </c>
      <c r="I12">
        <v>2.29882E-2</v>
      </c>
    </row>
    <row r="13" spans="1:9" x14ac:dyDescent="0.25">
      <c r="A13" t="s">
        <v>275</v>
      </c>
      <c r="B13" t="s">
        <v>156</v>
      </c>
      <c r="C13">
        <v>2001</v>
      </c>
      <c r="D13" s="130">
        <v>13.8</v>
      </c>
      <c r="E13" s="130">
        <v>-0.30000019999999999</v>
      </c>
      <c r="F13" s="130">
        <v>35220.800000000003</v>
      </c>
      <c r="G13" s="130">
        <v>5.3328999999999998E-3</v>
      </c>
      <c r="H13" s="16">
        <v>9800000</v>
      </c>
      <c r="I13">
        <v>1.9871699999999999E-2</v>
      </c>
    </row>
    <row r="14" spans="1:9" x14ac:dyDescent="0.25">
      <c r="A14" t="s">
        <v>275</v>
      </c>
      <c r="B14" t="s">
        <v>156</v>
      </c>
      <c r="C14">
        <v>2002</v>
      </c>
      <c r="D14" s="130">
        <v>13.9</v>
      </c>
      <c r="E14" s="130">
        <v>9.9999400000000002E-2</v>
      </c>
      <c r="F14" s="130">
        <v>36155</v>
      </c>
      <c r="G14" s="130">
        <v>2.6179299999999999E-2</v>
      </c>
      <c r="H14" s="16">
        <v>9900000</v>
      </c>
      <c r="I14">
        <v>1.69687E-2</v>
      </c>
    </row>
    <row r="15" spans="1:9" x14ac:dyDescent="0.25">
      <c r="A15" t="s">
        <v>275</v>
      </c>
      <c r="B15" t="s">
        <v>156</v>
      </c>
      <c r="C15">
        <v>2003</v>
      </c>
      <c r="D15" s="130">
        <v>13.4</v>
      </c>
      <c r="E15" s="130">
        <v>-0.5</v>
      </c>
      <c r="F15" s="130">
        <v>36836.800000000003</v>
      </c>
      <c r="G15" s="130">
        <v>1.8682500000000001E-2</v>
      </c>
      <c r="H15" s="16">
        <v>10000000</v>
      </c>
      <c r="I15">
        <v>1.9326699999999999E-2</v>
      </c>
    </row>
    <row r="16" spans="1:9" x14ac:dyDescent="0.25">
      <c r="A16" t="s">
        <v>275</v>
      </c>
      <c r="B16" t="s">
        <v>156</v>
      </c>
      <c r="C16">
        <v>2004</v>
      </c>
      <c r="D16" s="130">
        <v>13.2</v>
      </c>
      <c r="E16" s="130">
        <v>-0.19999980000000001</v>
      </c>
      <c r="F16" s="130">
        <v>37922.400000000001</v>
      </c>
      <c r="G16" s="130">
        <v>2.9044199999999999E-2</v>
      </c>
      <c r="H16" s="16">
        <v>10000000</v>
      </c>
      <c r="I16">
        <v>1.50206E-2</v>
      </c>
    </row>
    <row r="17" spans="1:9" x14ac:dyDescent="0.25">
      <c r="A17" t="s">
        <v>275</v>
      </c>
      <c r="B17" t="s">
        <v>156</v>
      </c>
      <c r="C17">
        <v>2005</v>
      </c>
      <c r="D17" s="130">
        <v>12.9</v>
      </c>
      <c r="E17" s="130">
        <v>-0.30000019999999999</v>
      </c>
      <c r="F17" s="130">
        <v>38617.9</v>
      </c>
      <c r="G17" s="130">
        <v>1.81732E-2</v>
      </c>
      <c r="H17" s="16">
        <v>11000000</v>
      </c>
      <c r="I17">
        <v>3.8355399999999998E-2</v>
      </c>
    </row>
    <row r="18" spans="1:9" x14ac:dyDescent="0.25">
      <c r="A18" t="s">
        <v>275</v>
      </c>
      <c r="B18" t="s">
        <v>156</v>
      </c>
      <c r="C18">
        <v>2006</v>
      </c>
      <c r="D18" s="130">
        <v>12.5</v>
      </c>
      <c r="E18" s="130">
        <v>-0.39999960000000001</v>
      </c>
      <c r="F18" s="130">
        <v>39210.199999999997</v>
      </c>
      <c r="G18" s="130">
        <v>1.52216E-2</v>
      </c>
      <c r="H18" s="16">
        <v>11000000</v>
      </c>
      <c r="I18">
        <v>2.9545999999999999E-2</v>
      </c>
    </row>
    <row r="19" spans="1:9" x14ac:dyDescent="0.25">
      <c r="A19" t="s">
        <v>275</v>
      </c>
      <c r="B19" t="s">
        <v>156</v>
      </c>
      <c r="C19">
        <v>2007</v>
      </c>
      <c r="D19" s="130">
        <v>12</v>
      </c>
      <c r="E19" s="130">
        <v>-0.5</v>
      </c>
      <c r="F19" s="130">
        <v>40442.1</v>
      </c>
      <c r="G19" s="130">
        <v>3.09334E-2</v>
      </c>
      <c r="H19" s="16">
        <v>11000000</v>
      </c>
      <c r="I19">
        <v>2.1083999999999999E-2</v>
      </c>
    </row>
    <row r="20" spans="1:9" x14ac:dyDescent="0.25">
      <c r="A20" t="s">
        <v>275</v>
      </c>
      <c r="B20" t="s">
        <v>156</v>
      </c>
      <c r="C20">
        <v>2008</v>
      </c>
      <c r="D20" s="130">
        <v>11.8</v>
      </c>
      <c r="E20" s="130">
        <v>-0.19999980000000001</v>
      </c>
      <c r="F20" s="130">
        <v>41133.699999999997</v>
      </c>
      <c r="G20" s="130">
        <v>1.6956300000000001E-2</v>
      </c>
      <c r="H20" s="16">
        <v>11000000</v>
      </c>
      <c r="I20">
        <v>3.5187000000000003E-2</v>
      </c>
    </row>
    <row r="21" spans="1:9" x14ac:dyDescent="0.25">
      <c r="A21" t="s">
        <v>275</v>
      </c>
      <c r="B21" t="s">
        <v>156</v>
      </c>
      <c r="C21">
        <v>2009</v>
      </c>
      <c r="D21" s="130">
        <v>11.6</v>
      </c>
      <c r="E21" s="130">
        <v>-0.19999980000000001</v>
      </c>
      <c r="F21" s="130">
        <v>40958.699999999997</v>
      </c>
      <c r="G21" s="130">
        <v>-4.2629E-3</v>
      </c>
      <c r="H21" s="16">
        <v>12000000</v>
      </c>
      <c r="I21">
        <v>2.7889400000000002E-2</v>
      </c>
    </row>
    <row r="22" spans="1:9" x14ac:dyDescent="0.25">
      <c r="A22" t="s">
        <v>275</v>
      </c>
      <c r="B22" t="s">
        <v>156</v>
      </c>
      <c r="C22">
        <v>2010</v>
      </c>
      <c r="D22" s="130">
        <v>11.6</v>
      </c>
      <c r="E22" s="130">
        <v>0</v>
      </c>
      <c r="F22" s="130">
        <v>41168.300000000003</v>
      </c>
      <c r="G22" s="130">
        <v>5.1031000000000002E-3</v>
      </c>
      <c r="H22" s="16">
        <v>12000000</v>
      </c>
      <c r="I22">
        <v>2.2642700000000002E-2</v>
      </c>
    </row>
    <row r="23" spans="1:9" x14ac:dyDescent="0.25">
      <c r="A23" t="s">
        <v>275</v>
      </c>
      <c r="B23" t="s">
        <v>156</v>
      </c>
      <c r="C23">
        <v>2011</v>
      </c>
      <c r="D23" s="130">
        <v>11.2</v>
      </c>
      <c r="E23" s="130">
        <v>-0.40000059999999998</v>
      </c>
      <c r="F23" s="130">
        <v>41588.199999999997</v>
      </c>
      <c r="G23" s="130">
        <v>1.0149E-2</v>
      </c>
      <c r="H23" s="16">
        <v>12000000</v>
      </c>
      <c r="I23">
        <v>1.9677500000000001E-2</v>
      </c>
    </row>
    <row r="24" spans="1:9" x14ac:dyDescent="0.25">
      <c r="A24" t="s">
        <v>275</v>
      </c>
      <c r="B24" t="s">
        <v>156</v>
      </c>
      <c r="C24">
        <v>2012</v>
      </c>
      <c r="F24" s="130">
        <v>42278.3</v>
      </c>
      <c r="G24" s="130">
        <v>1.6457599999999999E-2</v>
      </c>
      <c r="H24" s="16">
        <v>12000000</v>
      </c>
      <c r="I24">
        <v>1.6937500000000001E-2</v>
      </c>
    </row>
    <row r="25" spans="1:9" x14ac:dyDescent="0.25">
      <c r="A25" t="s">
        <v>275</v>
      </c>
      <c r="B25" t="s">
        <v>156</v>
      </c>
      <c r="C25">
        <v>2013</v>
      </c>
    </row>
    <row r="26" spans="1:9" x14ac:dyDescent="0.25">
      <c r="A26" t="s">
        <v>276</v>
      </c>
      <c r="B26" t="s">
        <v>165</v>
      </c>
      <c r="C26">
        <v>1990</v>
      </c>
      <c r="D26" s="130">
        <v>14.2</v>
      </c>
      <c r="F26" s="130">
        <v>30196.7</v>
      </c>
      <c r="H26" s="16">
        <v>3500000</v>
      </c>
    </row>
    <row r="27" spans="1:9" x14ac:dyDescent="0.25">
      <c r="A27" t="s">
        <v>276</v>
      </c>
      <c r="B27" t="s">
        <v>165</v>
      </c>
      <c r="C27">
        <v>1991</v>
      </c>
      <c r="D27" s="130">
        <v>13.9</v>
      </c>
      <c r="E27" s="130">
        <v>-0.30000019999999999</v>
      </c>
      <c r="F27" s="130">
        <v>30925.7</v>
      </c>
      <c r="G27" s="130">
        <v>2.3853300000000001E-2</v>
      </c>
      <c r="H27" s="16">
        <v>3600000</v>
      </c>
      <c r="I27">
        <v>1.47496E-2</v>
      </c>
    </row>
    <row r="28" spans="1:9" x14ac:dyDescent="0.25">
      <c r="A28" t="s">
        <v>276</v>
      </c>
      <c r="B28" t="s">
        <v>165</v>
      </c>
      <c r="C28">
        <v>1992</v>
      </c>
      <c r="D28" s="130">
        <v>13.4</v>
      </c>
      <c r="E28" s="130">
        <v>-0.5</v>
      </c>
      <c r="F28" s="130">
        <v>31227.5</v>
      </c>
      <c r="G28" s="130">
        <v>9.7132E-3</v>
      </c>
      <c r="H28" s="16">
        <v>3700000</v>
      </c>
      <c r="I28">
        <v>2.6164699999999999E-2</v>
      </c>
    </row>
    <row r="29" spans="1:9" x14ac:dyDescent="0.25">
      <c r="A29" t="s">
        <v>276</v>
      </c>
      <c r="B29" t="s">
        <v>165</v>
      </c>
      <c r="C29">
        <v>1993</v>
      </c>
      <c r="D29" s="130">
        <v>13.1</v>
      </c>
      <c r="E29" s="130">
        <v>-0.29999920000000002</v>
      </c>
      <c r="F29" s="130">
        <v>31134.2</v>
      </c>
      <c r="G29" s="130">
        <v>-2.9916999999999999E-3</v>
      </c>
      <c r="H29" s="16">
        <v>3700000</v>
      </c>
      <c r="I29">
        <v>1.04545E-2</v>
      </c>
    </row>
    <row r="30" spans="1:9" x14ac:dyDescent="0.25">
      <c r="A30" t="s">
        <v>276</v>
      </c>
      <c r="B30" t="s">
        <v>165</v>
      </c>
      <c r="C30">
        <v>1994</v>
      </c>
      <c r="D30" s="130">
        <v>13.8</v>
      </c>
      <c r="E30" s="130">
        <v>0.69999979999999995</v>
      </c>
      <c r="F30" s="130">
        <v>31759.7</v>
      </c>
      <c r="G30" s="130">
        <v>1.9888900000000001E-2</v>
      </c>
      <c r="H30" s="16">
        <v>3800000</v>
      </c>
      <c r="I30">
        <v>3.4106600000000001E-2</v>
      </c>
    </row>
    <row r="31" spans="1:9" x14ac:dyDescent="0.25">
      <c r="A31" t="s">
        <v>276</v>
      </c>
      <c r="B31" t="s">
        <v>165</v>
      </c>
      <c r="C31">
        <v>1995</v>
      </c>
      <c r="D31" s="130">
        <v>14.3</v>
      </c>
      <c r="E31" s="130">
        <v>0.5</v>
      </c>
      <c r="F31" s="130">
        <v>32557.1</v>
      </c>
      <c r="G31" s="130">
        <v>2.4798400000000002E-2</v>
      </c>
      <c r="H31" s="16">
        <v>3800000</v>
      </c>
      <c r="I31">
        <v>6.8072999999999996E-3</v>
      </c>
    </row>
    <row r="32" spans="1:9" x14ac:dyDescent="0.25">
      <c r="A32" t="s">
        <v>276</v>
      </c>
      <c r="B32" t="s">
        <v>165</v>
      </c>
      <c r="C32">
        <v>1996</v>
      </c>
      <c r="D32" s="130">
        <v>14.4</v>
      </c>
      <c r="E32" s="130">
        <v>9.9999400000000002E-2</v>
      </c>
      <c r="F32" s="130">
        <v>33315.199999999997</v>
      </c>
      <c r="G32" s="130">
        <v>2.30169E-2</v>
      </c>
      <c r="H32" s="16">
        <v>3800000</v>
      </c>
      <c r="I32">
        <v>-1.06827E-2</v>
      </c>
    </row>
    <row r="33" spans="1:9" x14ac:dyDescent="0.25">
      <c r="A33" t="s">
        <v>276</v>
      </c>
      <c r="B33" t="s">
        <v>165</v>
      </c>
      <c r="C33">
        <v>1997</v>
      </c>
      <c r="D33" s="130">
        <v>13.9</v>
      </c>
      <c r="E33" s="130">
        <v>-0.5</v>
      </c>
      <c r="F33" s="130">
        <v>34045.800000000003</v>
      </c>
      <c r="G33" s="130">
        <v>2.16942E-2</v>
      </c>
      <c r="H33" s="16">
        <v>3800000</v>
      </c>
      <c r="I33">
        <v>3.1269000000000002E-3</v>
      </c>
    </row>
    <row r="34" spans="1:9" x14ac:dyDescent="0.25">
      <c r="A34" t="s">
        <v>276</v>
      </c>
      <c r="B34" t="s">
        <v>165</v>
      </c>
      <c r="C34">
        <v>1998</v>
      </c>
      <c r="D34" s="130">
        <v>13.8</v>
      </c>
      <c r="E34" s="130">
        <v>-9.9999400000000002E-2</v>
      </c>
      <c r="F34" s="130">
        <v>35295.9</v>
      </c>
      <c r="G34" s="130">
        <v>3.6058399999999997E-2</v>
      </c>
      <c r="H34" s="16">
        <v>3800000</v>
      </c>
      <c r="I34">
        <v>1.3660000000000001E-4</v>
      </c>
    </row>
    <row r="35" spans="1:9" x14ac:dyDescent="0.25">
      <c r="A35" t="s">
        <v>276</v>
      </c>
      <c r="B35" t="s">
        <v>165</v>
      </c>
      <c r="C35">
        <v>1999</v>
      </c>
      <c r="D35" s="130">
        <v>13.7</v>
      </c>
      <c r="E35" s="130">
        <v>-0.1000004</v>
      </c>
      <c r="F35" s="130">
        <v>36474</v>
      </c>
      <c r="G35" s="130">
        <v>3.2834099999999998E-2</v>
      </c>
      <c r="H35" s="16">
        <v>3800000</v>
      </c>
      <c r="I35">
        <v>6.9506999999999998E-3</v>
      </c>
    </row>
    <row r="36" spans="1:9" x14ac:dyDescent="0.25">
      <c r="A36" t="s">
        <v>276</v>
      </c>
      <c r="B36" t="s">
        <v>165</v>
      </c>
      <c r="C36">
        <v>2000</v>
      </c>
      <c r="D36" s="130">
        <v>13.5</v>
      </c>
      <c r="E36" s="130">
        <v>-0.19999980000000001</v>
      </c>
      <c r="F36" s="130">
        <v>37720.9</v>
      </c>
      <c r="G36" s="130">
        <v>3.3615100000000002E-2</v>
      </c>
      <c r="H36" s="16">
        <v>3900000</v>
      </c>
      <c r="I36">
        <v>1.7382999999999999E-3</v>
      </c>
    </row>
    <row r="37" spans="1:9" x14ac:dyDescent="0.25">
      <c r="A37" t="s">
        <v>276</v>
      </c>
      <c r="B37" t="s">
        <v>165</v>
      </c>
      <c r="C37">
        <v>2001</v>
      </c>
      <c r="D37" s="130">
        <v>13.4</v>
      </c>
      <c r="E37" s="130">
        <v>-0.1000004</v>
      </c>
      <c r="F37" s="130">
        <v>37899</v>
      </c>
      <c r="G37" s="130">
        <v>4.7092000000000002E-3</v>
      </c>
      <c r="H37" s="16">
        <v>3900000</v>
      </c>
      <c r="I37">
        <v>8.7434999999999995E-3</v>
      </c>
    </row>
    <row r="38" spans="1:9" x14ac:dyDescent="0.25">
      <c r="A38" t="s">
        <v>276</v>
      </c>
      <c r="B38" t="s">
        <v>165</v>
      </c>
      <c r="C38">
        <v>2002</v>
      </c>
      <c r="D38" s="130">
        <v>13.5</v>
      </c>
      <c r="E38" s="130">
        <v>0.1000004</v>
      </c>
      <c r="F38" s="130">
        <v>38351.699999999997</v>
      </c>
      <c r="G38" s="130">
        <v>1.1875200000000001E-2</v>
      </c>
      <c r="H38" s="16">
        <v>4000000</v>
      </c>
      <c r="I38">
        <v>2.13554E-2</v>
      </c>
    </row>
    <row r="39" spans="1:9" x14ac:dyDescent="0.25">
      <c r="A39" t="s">
        <v>276</v>
      </c>
      <c r="B39" t="s">
        <v>165</v>
      </c>
      <c r="C39">
        <v>2003</v>
      </c>
      <c r="D39" s="130">
        <v>13</v>
      </c>
      <c r="E39" s="130">
        <v>-0.5</v>
      </c>
      <c r="F39" s="130">
        <v>38495.800000000003</v>
      </c>
      <c r="G39" s="130">
        <v>3.7507999999999999E-3</v>
      </c>
      <c r="H39" s="16">
        <v>4000000</v>
      </c>
      <c r="I39">
        <v>1.3843899999999999E-2</v>
      </c>
    </row>
    <row r="40" spans="1:9" x14ac:dyDescent="0.25">
      <c r="A40" t="s">
        <v>276</v>
      </c>
      <c r="B40" t="s">
        <v>165</v>
      </c>
      <c r="C40">
        <v>2004</v>
      </c>
      <c r="D40" s="130">
        <v>13</v>
      </c>
      <c r="E40" s="130">
        <v>0</v>
      </c>
      <c r="F40" s="130">
        <v>39248.400000000001</v>
      </c>
      <c r="G40" s="130">
        <v>1.9362399999999998E-2</v>
      </c>
      <c r="H40" s="16">
        <v>4000000</v>
      </c>
      <c r="I40">
        <v>-5.6181E-3</v>
      </c>
    </row>
    <row r="41" spans="1:9" x14ac:dyDescent="0.25">
      <c r="A41" t="s">
        <v>276</v>
      </c>
      <c r="B41" t="s">
        <v>165</v>
      </c>
      <c r="C41">
        <v>2005</v>
      </c>
      <c r="D41" s="130">
        <v>13.3</v>
      </c>
      <c r="E41" s="130">
        <v>0.30000019999999999</v>
      </c>
      <c r="F41" s="130">
        <v>39917.800000000003</v>
      </c>
      <c r="G41" s="130">
        <v>1.6910600000000001E-2</v>
      </c>
      <c r="H41" s="16">
        <v>4100000</v>
      </c>
      <c r="I41">
        <v>2.2672500000000002E-2</v>
      </c>
    </row>
    <row r="42" spans="1:9" x14ac:dyDescent="0.25">
      <c r="A42" t="s">
        <v>276</v>
      </c>
      <c r="B42" t="s">
        <v>165</v>
      </c>
      <c r="C42">
        <v>2006</v>
      </c>
      <c r="D42" s="130">
        <v>13.5</v>
      </c>
      <c r="E42" s="130">
        <v>0.19999980000000001</v>
      </c>
      <c r="F42" s="130">
        <v>41178.400000000001</v>
      </c>
      <c r="G42" s="130">
        <v>3.1092600000000001E-2</v>
      </c>
      <c r="H42" s="16">
        <v>4200000</v>
      </c>
      <c r="I42">
        <v>2.3191099999999999E-2</v>
      </c>
    </row>
    <row r="43" spans="1:9" x14ac:dyDescent="0.25">
      <c r="A43" t="s">
        <v>276</v>
      </c>
      <c r="B43" t="s">
        <v>165</v>
      </c>
      <c r="C43">
        <v>2007</v>
      </c>
      <c r="D43" s="130">
        <v>14.3</v>
      </c>
      <c r="E43" s="130">
        <v>0.80000020000000005</v>
      </c>
      <c r="F43" s="130">
        <v>42539.1</v>
      </c>
      <c r="G43" s="130">
        <v>3.25089E-2</v>
      </c>
      <c r="H43" s="16">
        <v>4200000</v>
      </c>
      <c r="I43">
        <v>2.64444E-2</v>
      </c>
    </row>
    <row r="44" spans="1:9" x14ac:dyDescent="0.25">
      <c r="A44" t="s">
        <v>276</v>
      </c>
      <c r="B44" t="s">
        <v>165</v>
      </c>
      <c r="C44">
        <v>2008</v>
      </c>
      <c r="D44" s="130">
        <v>13.7</v>
      </c>
      <c r="E44" s="130">
        <v>-0.60000039999999999</v>
      </c>
      <c r="F44" s="130">
        <v>42963</v>
      </c>
      <c r="G44" s="130">
        <v>9.9162999999999994E-3</v>
      </c>
      <c r="H44" s="16">
        <v>4300000</v>
      </c>
      <c r="I44">
        <v>1.1254200000000001E-2</v>
      </c>
    </row>
    <row r="45" spans="1:9" x14ac:dyDescent="0.25">
      <c r="A45" t="s">
        <v>276</v>
      </c>
      <c r="B45" t="s">
        <v>165</v>
      </c>
      <c r="C45">
        <v>2009</v>
      </c>
      <c r="D45" s="130">
        <v>13.4</v>
      </c>
      <c r="E45" s="130">
        <v>-0.30000019999999999</v>
      </c>
      <c r="F45" s="130">
        <v>41181</v>
      </c>
      <c r="G45" s="130">
        <v>-4.2363199999999997E-2</v>
      </c>
      <c r="H45" s="16">
        <v>4300000</v>
      </c>
      <c r="I45">
        <v>1.1771E-2</v>
      </c>
    </row>
    <row r="46" spans="1:9" x14ac:dyDescent="0.25">
      <c r="A46" t="s">
        <v>276</v>
      </c>
      <c r="B46" t="s">
        <v>165</v>
      </c>
      <c r="C46">
        <v>2010</v>
      </c>
      <c r="D46" s="130">
        <v>13.8</v>
      </c>
      <c r="E46" s="130">
        <v>0.40000059999999998</v>
      </c>
      <c r="F46" s="130">
        <v>41787.199999999997</v>
      </c>
      <c r="G46" s="130">
        <v>1.46132E-2</v>
      </c>
      <c r="H46" s="16">
        <v>4300000</v>
      </c>
      <c r="I46">
        <v>4.1379999999999998E-4</v>
      </c>
    </row>
    <row r="47" spans="1:9" x14ac:dyDescent="0.25">
      <c r="A47" t="s">
        <v>276</v>
      </c>
      <c r="B47" t="s">
        <v>165</v>
      </c>
      <c r="C47">
        <v>2011</v>
      </c>
      <c r="D47" s="130">
        <v>13.7</v>
      </c>
      <c r="E47" s="130">
        <v>-0.1000004</v>
      </c>
      <c r="F47" s="130">
        <v>42887.7</v>
      </c>
      <c r="G47" s="130">
        <v>2.5994300000000001E-2</v>
      </c>
      <c r="H47" s="16">
        <v>4400000</v>
      </c>
      <c r="I47">
        <v>8.5632999999999994E-3</v>
      </c>
    </row>
    <row r="48" spans="1:9" x14ac:dyDescent="0.25">
      <c r="A48" t="s">
        <v>276</v>
      </c>
      <c r="B48" t="s">
        <v>165</v>
      </c>
      <c r="C48">
        <v>2012</v>
      </c>
      <c r="D48" s="130">
        <v>13.3</v>
      </c>
      <c r="E48" s="130">
        <v>-0.39999960000000001</v>
      </c>
      <c r="F48" s="130">
        <v>43138.9</v>
      </c>
      <c r="G48" s="130">
        <v>5.8393000000000004E-3</v>
      </c>
      <c r="H48" s="16">
        <v>4400000</v>
      </c>
      <c r="I48">
        <v>8.9578999999999995E-3</v>
      </c>
    </row>
    <row r="49" spans="1:9" x14ac:dyDescent="0.25">
      <c r="A49" t="s">
        <v>276</v>
      </c>
      <c r="B49" t="s">
        <v>165</v>
      </c>
      <c r="C49">
        <v>2013</v>
      </c>
    </row>
    <row r="50" spans="1:9" x14ac:dyDescent="0.25">
      <c r="A50" t="s">
        <v>283</v>
      </c>
      <c r="B50" t="s">
        <v>158</v>
      </c>
      <c r="C50">
        <v>1990</v>
      </c>
      <c r="D50" s="130">
        <v>18.899999999999999</v>
      </c>
      <c r="F50" s="130">
        <v>30332</v>
      </c>
      <c r="H50" s="16">
        <v>4000000</v>
      </c>
    </row>
    <row r="51" spans="1:9" x14ac:dyDescent="0.25">
      <c r="A51" t="s">
        <v>283</v>
      </c>
      <c r="B51" t="s">
        <v>158</v>
      </c>
      <c r="C51">
        <v>1991</v>
      </c>
      <c r="D51" s="130">
        <v>17.299999</v>
      </c>
      <c r="E51" s="130">
        <v>-1.6</v>
      </c>
      <c r="F51" s="130">
        <v>30773.4</v>
      </c>
      <c r="G51" s="130">
        <v>1.44482E-2</v>
      </c>
      <c r="H51" s="16">
        <v>4000000</v>
      </c>
      <c r="I51">
        <v>2.2792799999999998E-2</v>
      </c>
    </row>
    <row r="52" spans="1:9" x14ac:dyDescent="0.25">
      <c r="A52" t="s">
        <v>283</v>
      </c>
      <c r="B52" t="s">
        <v>158</v>
      </c>
      <c r="C52">
        <v>1992</v>
      </c>
      <c r="D52" s="130">
        <v>17.899999999999999</v>
      </c>
      <c r="E52" s="130">
        <v>0.60000039999999999</v>
      </c>
      <c r="F52" s="130">
        <v>31117.9</v>
      </c>
      <c r="G52" s="130">
        <v>1.1134099999999999E-2</v>
      </c>
      <c r="H52" s="16">
        <v>4100000</v>
      </c>
      <c r="I52">
        <v>8.4072000000000001E-3</v>
      </c>
    </row>
    <row r="53" spans="1:9" x14ac:dyDescent="0.25">
      <c r="A53" t="s">
        <v>283</v>
      </c>
      <c r="B53" t="s">
        <v>158</v>
      </c>
      <c r="C53">
        <v>1993</v>
      </c>
      <c r="D53" s="130">
        <v>17.899999999999999</v>
      </c>
      <c r="E53" s="130">
        <v>0</v>
      </c>
      <c r="F53" s="130">
        <v>30698.5</v>
      </c>
      <c r="G53" s="130">
        <v>-1.3571700000000001E-2</v>
      </c>
      <c r="H53" s="16">
        <v>4100000</v>
      </c>
      <c r="I53">
        <v>6.0708999999999997E-3</v>
      </c>
    </row>
    <row r="54" spans="1:9" x14ac:dyDescent="0.25">
      <c r="A54" t="s">
        <v>283</v>
      </c>
      <c r="B54" t="s">
        <v>158</v>
      </c>
      <c r="C54">
        <v>1994</v>
      </c>
      <c r="D54" s="130">
        <v>17.700001</v>
      </c>
      <c r="E54" s="130">
        <v>-0.19999890000000001</v>
      </c>
      <c r="F54" s="130">
        <v>31591.599999999999</v>
      </c>
      <c r="G54" s="130">
        <v>2.8677899999999999E-2</v>
      </c>
      <c r="H54" s="16">
        <v>4200000</v>
      </c>
      <c r="I54">
        <v>1.58336E-2</v>
      </c>
    </row>
    <row r="55" spans="1:9" x14ac:dyDescent="0.25">
      <c r="A55" t="s">
        <v>283</v>
      </c>
      <c r="B55" t="s">
        <v>158</v>
      </c>
      <c r="C55">
        <v>1995</v>
      </c>
      <c r="D55" s="130">
        <v>17.899999999999999</v>
      </c>
      <c r="E55" s="130">
        <v>0.19999890000000001</v>
      </c>
      <c r="F55" s="130">
        <v>32277.3</v>
      </c>
      <c r="G55" s="130">
        <v>2.14729E-2</v>
      </c>
      <c r="H55" s="16">
        <v>4200000</v>
      </c>
      <c r="I55">
        <v>6.7383E-3</v>
      </c>
    </row>
    <row r="56" spans="1:9" x14ac:dyDescent="0.25">
      <c r="A56" t="s">
        <v>283</v>
      </c>
      <c r="B56" t="s">
        <v>158</v>
      </c>
      <c r="C56">
        <v>1996</v>
      </c>
      <c r="D56" s="130">
        <v>18</v>
      </c>
      <c r="E56" s="130">
        <v>0.1000004</v>
      </c>
      <c r="F56" s="130">
        <v>32673.200000000001</v>
      </c>
      <c r="G56" s="130">
        <v>1.21899E-2</v>
      </c>
      <c r="H56" s="16">
        <v>4200000</v>
      </c>
      <c r="I56">
        <v>2.7525000000000002E-3</v>
      </c>
    </row>
    <row r="57" spans="1:9" x14ac:dyDescent="0.25">
      <c r="A57" t="s">
        <v>283</v>
      </c>
      <c r="B57" t="s">
        <v>158</v>
      </c>
      <c r="C57">
        <v>1997</v>
      </c>
      <c r="D57" s="130">
        <v>17.200001</v>
      </c>
      <c r="E57" s="130">
        <v>-0.79999920000000002</v>
      </c>
      <c r="F57" s="130">
        <v>33811.599999999999</v>
      </c>
      <c r="G57" s="130">
        <v>3.4251200000000002E-2</v>
      </c>
      <c r="H57" s="16">
        <v>4200000</v>
      </c>
      <c r="I57">
        <v>3.5690000000000001E-3</v>
      </c>
    </row>
    <row r="58" spans="1:9" x14ac:dyDescent="0.25">
      <c r="A58" t="s">
        <v>283</v>
      </c>
      <c r="B58" t="s">
        <v>158</v>
      </c>
      <c r="C58">
        <v>1998</v>
      </c>
      <c r="D58" s="130">
        <v>17.399999999999999</v>
      </c>
      <c r="E58" s="130">
        <v>0.19999890000000001</v>
      </c>
      <c r="F58" s="130">
        <v>34390.300000000003</v>
      </c>
      <c r="G58" s="130">
        <v>1.6970599999999999E-2</v>
      </c>
      <c r="H58" s="16">
        <v>4300000</v>
      </c>
      <c r="I58">
        <v>9.8767999999999998E-3</v>
      </c>
    </row>
    <row r="59" spans="1:9" x14ac:dyDescent="0.25">
      <c r="A59" t="s">
        <v>283</v>
      </c>
      <c r="B59" t="s">
        <v>158</v>
      </c>
      <c r="C59">
        <v>1999</v>
      </c>
      <c r="D59" s="130">
        <v>17.299999</v>
      </c>
      <c r="E59" s="130">
        <v>-0.1000004</v>
      </c>
      <c r="F59" s="130">
        <v>35526.199999999997</v>
      </c>
      <c r="G59" s="130">
        <v>3.2495499999999997E-2</v>
      </c>
      <c r="H59" s="16">
        <v>4400000</v>
      </c>
      <c r="I59">
        <v>2.7238499999999999E-2</v>
      </c>
    </row>
    <row r="60" spans="1:9" x14ac:dyDescent="0.25">
      <c r="A60" t="s">
        <v>283</v>
      </c>
      <c r="B60" t="s">
        <v>158</v>
      </c>
      <c r="C60">
        <v>2000</v>
      </c>
      <c r="D60" s="130">
        <v>16</v>
      </c>
      <c r="E60" s="130">
        <v>-1.2999989999999999</v>
      </c>
      <c r="F60" s="130">
        <v>36740.699999999997</v>
      </c>
      <c r="G60" s="130">
        <v>3.3614199999999997E-2</v>
      </c>
      <c r="H60" s="16">
        <v>4400000</v>
      </c>
      <c r="I60">
        <v>1.2596100000000001E-2</v>
      </c>
    </row>
    <row r="61" spans="1:9" x14ac:dyDescent="0.25">
      <c r="A61" t="s">
        <v>283</v>
      </c>
      <c r="B61" t="s">
        <v>158</v>
      </c>
      <c r="C61">
        <v>2001</v>
      </c>
      <c r="D61" s="130">
        <v>15.2</v>
      </c>
      <c r="E61" s="130">
        <v>-0.80000020000000005</v>
      </c>
      <c r="F61" s="130">
        <v>36910.300000000003</v>
      </c>
      <c r="G61" s="130">
        <v>4.6043000000000004E-3</v>
      </c>
      <c r="H61" s="16">
        <v>4300000</v>
      </c>
      <c r="I61">
        <v>-2.48857E-2</v>
      </c>
    </row>
    <row r="62" spans="1:9" x14ac:dyDescent="0.25">
      <c r="A62" t="s">
        <v>283</v>
      </c>
      <c r="B62" t="s">
        <v>158</v>
      </c>
      <c r="C62">
        <v>2002</v>
      </c>
      <c r="D62" s="130">
        <v>15.4</v>
      </c>
      <c r="E62" s="130">
        <v>0.19999980000000001</v>
      </c>
      <c r="F62" s="130">
        <v>37244.800000000003</v>
      </c>
      <c r="G62" s="130">
        <v>9.0218E-3</v>
      </c>
      <c r="H62" s="16">
        <v>4400000</v>
      </c>
      <c r="I62">
        <v>2.1297E-2</v>
      </c>
    </row>
    <row r="63" spans="1:9" x14ac:dyDescent="0.25">
      <c r="A63" t="s">
        <v>283</v>
      </c>
      <c r="B63" t="s">
        <v>158</v>
      </c>
      <c r="C63">
        <v>2003</v>
      </c>
      <c r="D63" s="130">
        <v>15.2</v>
      </c>
      <c r="E63" s="130">
        <v>-0.19999980000000001</v>
      </c>
      <c r="F63" s="130">
        <v>37388.400000000001</v>
      </c>
      <c r="G63" s="130">
        <v>3.8500000000000001E-3</v>
      </c>
      <c r="H63" s="16">
        <v>4400000</v>
      </c>
      <c r="I63">
        <v>8.1112000000000007E-3</v>
      </c>
    </row>
    <row r="64" spans="1:9" x14ac:dyDescent="0.25">
      <c r="A64" t="s">
        <v>283</v>
      </c>
      <c r="B64" t="s">
        <v>158</v>
      </c>
      <c r="C64">
        <v>2004</v>
      </c>
      <c r="D64" s="130">
        <v>14.7</v>
      </c>
      <c r="E64" s="130">
        <v>-0.5</v>
      </c>
      <c r="F64" s="130">
        <v>38445.9</v>
      </c>
      <c r="G64" s="130">
        <v>2.78902E-2</v>
      </c>
      <c r="H64" s="16">
        <v>4500000</v>
      </c>
      <c r="I64">
        <v>2.14133E-2</v>
      </c>
    </row>
    <row r="65" spans="1:9" x14ac:dyDescent="0.25">
      <c r="A65" t="s">
        <v>283</v>
      </c>
      <c r="B65" t="s">
        <v>158</v>
      </c>
      <c r="C65">
        <v>2005</v>
      </c>
      <c r="D65" s="130">
        <v>15.2</v>
      </c>
      <c r="E65" s="130">
        <v>0.5</v>
      </c>
      <c r="F65" s="130">
        <v>38904.5</v>
      </c>
      <c r="G65" s="130">
        <v>1.18589E-2</v>
      </c>
      <c r="H65" s="16">
        <v>4600000</v>
      </c>
      <c r="I65">
        <v>2.7356999999999999E-2</v>
      </c>
    </row>
    <row r="66" spans="1:9" x14ac:dyDescent="0.25">
      <c r="A66" t="s">
        <v>283</v>
      </c>
      <c r="B66" t="s">
        <v>158</v>
      </c>
      <c r="C66">
        <v>2006</v>
      </c>
      <c r="D66" s="130">
        <v>15.1</v>
      </c>
      <c r="E66" s="130">
        <v>-9.9999400000000002E-2</v>
      </c>
      <c r="F66" s="130">
        <v>39679.4</v>
      </c>
      <c r="G66" s="130">
        <v>1.9720999999999999E-2</v>
      </c>
      <c r="H66" s="16">
        <v>4600000</v>
      </c>
      <c r="I66">
        <v>4.6246000000000004E-3</v>
      </c>
    </row>
    <row r="67" spans="1:9" x14ac:dyDescent="0.25">
      <c r="A67" t="s">
        <v>283</v>
      </c>
      <c r="B67" t="s">
        <v>158</v>
      </c>
      <c r="C67">
        <v>2007</v>
      </c>
      <c r="D67" s="130">
        <v>14.8</v>
      </c>
      <c r="E67" s="130">
        <v>-0.30000019999999999</v>
      </c>
      <c r="F67" s="130">
        <v>40524.699999999997</v>
      </c>
      <c r="G67" s="130">
        <v>2.1080999999999999E-2</v>
      </c>
      <c r="H67" s="16">
        <v>4700000</v>
      </c>
      <c r="I67">
        <v>2.3323900000000002E-2</v>
      </c>
    </row>
    <row r="68" spans="1:9" x14ac:dyDescent="0.25">
      <c r="A68" t="s">
        <v>283</v>
      </c>
      <c r="B68" t="s">
        <v>158</v>
      </c>
      <c r="C68">
        <v>2008</v>
      </c>
      <c r="D68" s="130">
        <v>14.2</v>
      </c>
      <c r="E68" s="130">
        <v>-0.60000039999999999</v>
      </c>
      <c r="F68" s="130">
        <v>40601.9</v>
      </c>
      <c r="G68" s="130">
        <v>1.9035E-3</v>
      </c>
      <c r="H68" s="16">
        <v>4800000</v>
      </c>
      <c r="I68">
        <v>1.05731E-2</v>
      </c>
    </row>
    <row r="69" spans="1:9" x14ac:dyDescent="0.25">
      <c r="A69" t="s">
        <v>283</v>
      </c>
      <c r="B69" t="s">
        <v>158</v>
      </c>
      <c r="C69">
        <v>2009</v>
      </c>
      <c r="D69" s="130">
        <v>14.8</v>
      </c>
      <c r="E69" s="130">
        <v>0.60000039999999999</v>
      </c>
      <c r="F69" s="130">
        <v>39148.6</v>
      </c>
      <c r="G69" s="130">
        <v>-3.6451299999999999E-2</v>
      </c>
      <c r="H69" s="16">
        <v>4800000</v>
      </c>
      <c r="I69">
        <v>3.5932999999999998E-3</v>
      </c>
    </row>
    <row r="70" spans="1:9" x14ac:dyDescent="0.25">
      <c r="A70" t="s">
        <v>283</v>
      </c>
      <c r="B70" t="s">
        <v>158</v>
      </c>
      <c r="C70">
        <v>2010</v>
      </c>
      <c r="D70" s="130">
        <v>14.4</v>
      </c>
      <c r="E70" s="130">
        <v>-0.40000059999999998</v>
      </c>
      <c r="F70" s="130">
        <v>39693.800000000003</v>
      </c>
      <c r="G70" s="130">
        <v>1.38292E-2</v>
      </c>
      <c r="H70" s="16">
        <v>4900000</v>
      </c>
      <c r="I70">
        <v>2.4972899999999999E-2</v>
      </c>
    </row>
    <row r="71" spans="1:9" x14ac:dyDescent="0.25">
      <c r="A71" t="s">
        <v>283</v>
      </c>
      <c r="B71" t="s">
        <v>158</v>
      </c>
      <c r="C71">
        <v>2011</v>
      </c>
      <c r="D71" s="130">
        <v>14.3</v>
      </c>
      <c r="E71" s="130">
        <v>-9.9999400000000002E-2</v>
      </c>
      <c r="F71" s="130">
        <v>39839.599999999999</v>
      </c>
      <c r="G71" s="130">
        <v>3.6678000000000001E-3</v>
      </c>
      <c r="H71" s="16">
        <v>4900000</v>
      </c>
      <c r="I71">
        <v>-4.1825999999999999E-3</v>
      </c>
    </row>
    <row r="72" spans="1:9" x14ac:dyDescent="0.25">
      <c r="A72" t="s">
        <v>283</v>
      </c>
      <c r="B72" t="s">
        <v>158</v>
      </c>
      <c r="C72">
        <v>2012</v>
      </c>
      <c r="D72" s="130">
        <v>14.3</v>
      </c>
      <c r="E72" s="130">
        <v>0</v>
      </c>
      <c r="F72" s="130">
        <v>39497.5</v>
      </c>
      <c r="G72" s="130">
        <v>-8.6230999999999999E-3</v>
      </c>
      <c r="H72" s="16">
        <v>4900000</v>
      </c>
      <c r="I72">
        <v>7.9378000000000001E-3</v>
      </c>
    </row>
    <row r="73" spans="1:9" x14ac:dyDescent="0.25">
      <c r="A73" t="s">
        <v>283</v>
      </c>
      <c r="B73" t="s">
        <v>158</v>
      </c>
      <c r="C73">
        <v>2013</v>
      </c>
    </row>
    <row r="74" spans="1:9" x14ac:dyDescent="0.25">
      <c r="A74" t="s">
        <v>278</v>
      </c>
      <c r="B74" t="s">
        <v>219</v>
      </c>
      <c r="C74">
        <v>1991</v>
      </c>
      <c r="D74" s="130">
        <v>12.3</v>
      </c>
      <c r="F74" s="130">
        <v>22679.5</v>
      </c>
      <c r="H74">
        <v>129172</v>
      </c>
    </row>
    <row r="75" spans="1:9" x14ac:dyDescent="0.25">
      <c r="A75" t="s">
        <v>278</v>
      </c>
      <c r="B75" t="s">
        <v>219</v>
      </c>
      <c r="C75">
        <v>1992</v>
      </c>
      <c r="D75" s="130">
        <v>13.1</v>
      </c>
      <c r="E75" s="130">
        <v>0.80000020000000005</v>
      </c>
      <c r="F75" s="130">
        <v>21402.400000000001</v>
      </c>
      <c r="G75" s="130">
        <v>-5.79567E-2</v>
      </c>
      <c r="H75">
        <v>133508</v>
      </c>
      <c r="I75">
        <v>3.3568000000000001E-2</v>
      </c>
    </row>
    <row r="76" spans="1:9" x14ac:dyDescent="0.25">
      <c r="A76" t="s">
        <v>278</v>
      </c>
      <c r="B76" t="s">
        <v>219</v>
      </c>
      <c r="C76">
        <v>1993</v>
      </c>
      <c r="D76" s="130">
        <v>13</v>
      </c>
      <c r="E76" s="130">
        <v>-0.1000004</v>
      </c>
      <c r="F76" s="130">
        <v>21071.7</v>
      </c>
      <c r="G76" s="130">
        <v>-1.55716E-2</v>
      </c>
      <c r="H76">
        <v>137841</v>
      </c>
      <c r="I76">
        <v>3.35511E-2</v>
      </c>
    </row>
    <row r="77" spans="1:9" x14ac:dyDescent="0.25">
      <c r="A77" t="s">
        <v>278</v>
      </c>
      <c r="B77" t="s">
        <v>219</v>
      </c>
      <c r="C77">
        <v>1994</v>
      </c>
      <c r="D77" s="130">
        <v>14.3</v>
      </c>
      <c r="E77" s="130">
        <v>1.3</v>
      </c>
      <c r="F77" s="130">
        <v>21363.7</v>
      </c>
      <c r="G77" s="130">
        <v>1.37606E-2</v>
      </c>
      <c r="H77">
        <v>141932</v>
      </c>
      <c r="I77">
        <v>3.1671600000000001E-2</v>
      </c>
    </row>
    <row r="78" spans="1:9" x14ac:dyDescent="0.25">
      <c r="A78" t="s">
        <v>278</v>
      </c>
      <c r="B78" t="s">
        <v>219</v>
      </c>
      <c r="C78">
        <v>1995</v>
      </c>
      <c r="D78" s="130">
        <v>14.3</v>
      </c>
      <c r="E78" s="130">
        <v>0</v>
      </c>
      <c r="F78" s="130">
        <v>21962.400000000001</v>
      </c>
      <c r="G78" s="130">
        <v>2.7636500000000001E-2</v>
      </c>
      <c r="H78">
        <v>142857</v>
      </c>
      <c r="I78">
        <v>7.1602000000000002E-3</v>
      </c>
    </row>
    <row r="79" spans="1:9" x14ac:dyDescent="0.25">
      <c r="A79" t="s">
        <v>278</v>
      </c>
      <c r="B79" t="s">
        <v>219</v>
      </c>
      <c r="C79">
        <v>1996</v>
      </c>
      <c r="D79" s="130">
        <v>16.5</v>
      </c>
      <c r="E79" s="130">
        <v>2.2000000000000002</v>
      </c>
      <c r="F79" s="130">
        <v>22597.200000000001</v>
      </c>
      <c r="G79" s="130">
        <v>2.8495800000000002E-2</v>
      </c>
      <c r="H79">
        <v>142951</v>
      </c>
      <c r="I79">
        <v>7.226E-4</v>
      </c>
    </row>
    <row r="80" spans="1:9" x14ac:dyDescent="0.25">
      <c r="A80" t="s">
        <v>278</v>
      </c>
      <c r="B80" t="s">
        <v>219</v>
      </c>
      <c r="C80">
        <v>1997</v>
      </c>
      <c r="D80" s="130">
        <v>14.9</v>
      </c>
      <c r="E80" s="130">
        <v>-1.6</v>
      </c>
      <c r="F80" s="130">
        <v>22808.6</v>
      </c>
      <c r="G80" s="130">
        <v>9.3106999999999999E-3</v>
      </c>
      <c r="H80">
        <v>142057</v>
      </c>
      <c r="I80">
        <v>-6.9194E-3</v>
      </c>
    </row>
    <row r="81" spans="1:9" x14ac:dyDescent="0.25">
      <c r="A81" t="s">
        <v>278</v>
      </c>
      <c r="B81" t="s">
        <v>219</v>
      </c>
      <c r="C81">
        <v>1998</v>
      </c>
      <c r="D81" s="130">
        <v>14.8</v>
      </c>
      <c r="E81" s="130">
        <v>-9.9999400000000002E-2</v>
      </c>
      <c r="F81" s="130">
        <v>23630.5</v>
      </c>
      <c r="G81" s="130">
        <v>3.5402299999999998E-2</v>
      </c>
      <c r="H81">
        <v>140367</v>
      </c>
      <c r="I81">
        <v>-1.30823E-2</v>
      </c>
    </row>
    <row r="82" spans="1:9" x14ac:dyDescent="0.25">
      <c r="A82" t="s">
        <v>278</v>
      </c>
      <c r="B82" t="s">
        <v>219</v>
      </c>
      <c r="C82">
        <v>1999</v>
      </c>
      <c r="D82" s="130">
        <v>15.9</v>
      </c>
      <c r="E82" s="130">
        <v>1.0999989999999999</v>
      </c>
      <c r="F82" s="130">
        <v>25015.4</v>
      </c>
      <c r="G82" s="130">
        <v>5.6950599999999997E-2</v>
      </c>
      <c r="H82">
        <v>144087</v>
      </c>
      <c r="I82">
        <v>2.87952E-2</v>
      </c>
    </row>
    <row r="83" spans="1:9" x14ac:dyDescent="0.25">
      <c r="A83" t="s">
        <v>278</v>
      </c>
      <c r="B83" t="s">
        <v>219</v>
      </c>
      <c r="C83">
        <v>2000</v>
      </c>
      <c r="F83" s="130">
        <v>25675.599999999999</v>
      </c>
      <c r="G83" s="130">
        <v>2.60506E-2</v>
      </c>
      <c r="H83">
        <v>148465</v>
      </c>
      <c r="I83">
        <v>3.3897999999999998E-2</v>
      </c>
    </row>
    <row r="84" spans="1:9" x14ac:dyDescent="0.25">
      <c r="A84" t="s">
        <v>278</v>
      </c>
      <c r="B84" t="s">
        <v>219</v>
      </c>
      <c r="C84">
        <v>2001</v>
      </c>
      <c r="D84" s="130">
        <v>13.9</v>
      </c>
      <c r="F84" s="130">
        <v>25893.5</v>
      </c>
      <c r="G84" s="130">
        <v>8.4524000000000005E-3</v>
      </c>
      <c r="H84">
        <v>153379</v>
      </c>
      <c r="I84">
        <v>3.8038099999999998E-2</v>
      </c>
    </row>
    <row r="85" spans="1:9" x14ac:dyDescent="0.25">
      <c r="A85" t="s">
        <v>278</v>
      </c>
      <c r="B85" t="s">
        <v>219</v>
      </c>
      <c r="C85">
        <v>2002</v>
      </c>
      <c r="D85" s="130">
        <v>15.4</v>
      </c>
      <c r="E85" s="130">
        <v>1.5</v>
      </c>
      <c r="F85" s="130">
        <v>26074.6</v>
      </c>
      <c r="G85" s="130">
        <v>6.9695E-3</v>
      </c>
      <c r="H85">
        <v>158951</v>
      </c>
      <c r="I85">
        <v>4.3135199999999999E-2</v>
      </c>
    </row>
    <row r="86" spans="1:9" x14ac:dyDescent="0.25">
      <c r="A86" t="s">
        <v>278</v>
      </c>
      <c r="B86" t="s">
        <v>219</v>
      </c>
      <c r="C86">
        <v>2003</v>
      </c>
      <c r="D86" s="130">
        <v>14.3</v>
      </c>
      <c r="E86" s="130">
        <v>-1.0999989999999999</v>
      </c>
      <c r="F86" s="130">
        <v>25207.7</v>
      </c>
      <c r="G86" s="130">
        <v>-3.3812500000000002E-2</v>
      </c>
      <c r="H86">
        <v>165011</v>
      </c>
      <c r="I86">
        <v>4.6918700000000001E-2</v>
      </c>
    </row>
    <row r="87" spans="1:9" x14ac:dyDescent="0.25">
      <c r="A87" t="s">
        <v>278</v>
      </c>
      <c r="B87" t="s">
        <v>219</v>
      </c>
      <c r="C87">
        <v>2004</v>
      </c>
      <c r="D87" s="130">
        <v>15</v>
      </c>
      <c r="E87" s="130">
        <v>0.69999979999999995</v>
      </c>
      <c r="F87" s="130">
        <v>24895.8</v>
      </c>
      <c r="G87" s="130">
        <v>-1.2451200000000001E-2</v>
      </c>
      <c r="H87">
        <v>171296</v>
      </c>
      <c r="I87">
        <v>4.8654700000000002E-2</v>
      </c>
    </row>
    <row r="88" spans="1:9" x14ac:dyDescent="0.25">
      <c r="A88" t="s">
        <v>278</v>
      </c>
      <c r="B88" t="s">
        <v>219</v>
      </c>
      <c r="C88">
        <v>2005</v>
      </c>
      <c r="F88" s="130">
        <v>25217.9</v>
      </c>
      <c r="G88" s="130">
        <v>1.28565E-2</v>
      </c>
      <c r="H88">
        <v>177842</v>
      </c>
      <c r="I88">
        <v>5.0680900000000001E-2</v>
      </c>
    </row>
    <row r="89" spans="1:9" x14ac:dyDescent="0.25">
      <c r="A89" t="s">
        <v>278</v>
      </c>
      <c r="B89" t="s">
        <v>219</v>
      </c>
      <c r="C89">
        <v>2006</v>
      </c>
      <c r="F89" s="130">
        <v>25349.3</v>
      </c>
      <c r="G89" s="130">
        <v>5.1974999999999999E-3</v>
      </c>
      <c r="H89">
        <v>183850</v>
      </c>
      <c r="I89">
        <v>4.65099E-2</v>
      </c>
    </row>
    <row r="90" spans="1:9" x14ac:dyDescent="0.25">
      <c r="A90" t="s">
        <v>278</v>
      </c>
      <c r="B90" t="s">
        <v>219</v>
      </c>
      <c r="C90">
        <v>2007</v>
      </c>
      <c r="F90" s="130">
        <v>25232.799999999999</v>
      </c>
      <c r="G90" s="130">
        <v>-4.6071999999999997E-3</v>
      </c>
      <c r="H90">
        <v>190063</v>
      </c>
      <c r="I90">
        <v>4.8099500000000003E-2</v>
      </c>
    </row>
    <row r="91" spans="1:9" x14ac:dyDescent="0.25">
      <c r="A91" t="s">
        <v>278</v>
      </c>
      <c r="B91" t="s">
        <v>219</v>
      </c>
      <c r="C91">
        <v>2008</v>
      </c>
      <c r="D91" s="130">
        <v>13.4</v>
      </c>
      <c r="F91" s="130">
        <v>24201.3</v>
      </c>
      <c r="G91" s="130">
        <v>-4.1738499999999998E-2</v>
      </c>
      <c r="H91">
        <v>196207</v>
      </c>
      <c r="I91">
        <v>4.7563300000000003E-2</v>
      </c>
    </row>
    <row r="92" spans="1:9" x14ac:dyDescent="0.25">
      <c r="A92" t="s">
        <v>278</v>
      </c>
      <c r="B92" t="s">
        <v>219</v>
      </c>
      <c r="C92">
        <v>2009</v>
      </c>
      <c r="F92" s="130">
        <v>22788.400000000001</v>
      </c>
      <c r="G92" s="130">
        <v>-6.0155899999999998E-2</v>
      </c>
      <c r="H92">
        <v>201976</v>
      </c>
      <c r="I92">
        <v>4.4663700000000001E-2</v>
      </c>
    </row>
    <row r="93" spans="1:9" x14ac:dyDescent="0.25">
      <c r="A93" t="s">
        <v>278</v>
      </c>
      <c r="B93" t="s">
        <v>219</v>
      </c>
      <c r="C93">
        <v>2010</v>
      </c>
      <c r="F93" s="130">
        <v>22630.1</v>
      </c>
      <c r="G93" s="130">
        <v>-6.9695E-3</v>
      </c>
      <c r="H93">
        <v>207048</v>
      </c>
      <c r="I93">
        <v>3.9262900000000003E-2</v>
      </c>
    </row>
    <row r="94" spans="1:9" x14ac:dyDescent="0.25">
      <c r="A94" t="s">
        <v>278</v>
      </c>
      <c r="B94" t="s">
        <v>219</v>
      </c>
      <c r="C94">
        <v>2011</v>
      </c>
      <c r="D94" s="130">
        <v>14.2</v>
      </c>
      <c r="F94" s="130">
        <v>22639.3</v>
      </c>
      <c r="G94" s="130">
        <v>4.0630000000000001E-4</v>
      </c>
      <c r="H94">
        <v>211650</v>
      </c>
      <c r="I94">
        <v>3.5624000000000003E-2</v>
      </c>
    </row>
    <row r="95" spans="1:9" x14ac:dyDescent="0.25">
      <c r="A95" t="s">
        <v>278</v>
      </c>
      <c r="B95" t="s">
        <v>219</v>
      </c>
      <c r="C95">
        <v>2012</v>
      </c>
      <c r="F95" s="130">
        <v>22705.200000000001</v>
      </c>
      <c r="G95" s="130">
        <v>2.9068000000000002E-3</v>
      </c>
      <c r="H95">
        <v>216028</v>
      </c>
      <c r="I95">
        <v>3.3897299999999998E-2</v>
      </c>
    </row>
    <row r="96" spans="1:9" x14ac:dyDescent="0.25">
      <c r="A96" t="s">
        <v>278</v>
      </c>
      <c r="B96" t="s">
        <v>219</v>
      </c>
      <c r="C96">
        <v>2013</v>
      </c>
    </row>
    <row r="97" spans="1:9" x14ac:dyDescent="0.25">
      <c r="A97" t="s">
        <v>287</v>
      </c>
      <c r="B97" t="s">
        <v>89</v>
      </c>
      <c r="C97">
        <v>1990</v>
      </c>
      <c r="D97" s="130">
        <v>43.099997999999999</v>
      </c>
      <c r="F97" s="130">
        <v>3739.99</v>
      </c>
      <c r="H97" s="16">
        <v>2700000</v>
      </c>
    </row>
    <row r="98" spans="1:9" x14ac:dyDescent="0.25">
      <c r="A98" t="s">
        <v>287</v>
      </c>
      <c r="B98" t="s">
        <v>89</v>
      </c>
      <c r="C98">
        <v>1991</v>
      </c>
      <c r="D98" s="130">
        <v>43.5</v>
      </c>
      <c r="E98" s="130">
        <v>0.40000150000000001</v>
      </c>
      <c r="F98" s="130">
        <v>3844.89</v>
      </c>
      <c r="G98" s="130">
        <v>2.76613E-2</v>
      </c>
      <c r="H98" s="16">
        <v>2700000</v>
      </c>
      <c r="I98">
        <v>3.1444899999999998E-2</v>
      </c>
    </row>
    <row r="99" spans="1:9" x14ac:dyDescent="0.25">
      <c r="A99" t="s">
        <v>287</v>
      </c>
      <c r="B99" t="s">
        <v>89</v>
      </c>
      <c r="C99">
        <v>1992</v>
      </c>
      <c r="D99" s="130">
        <v>44.599997999999999</v>
      </c>
      <c r="E99" s="130">
        <v>1.099998</v>
      </c>
      <c r="F99" s="130">
        <v>3816.82</v>
      </c>
      <c r="G99" s="130">
        <v>-7.3289999999999996E-3</v>
      </c>
      <c r="H99" s="16">
        <v>2800000</v>
      </c>
      <c r="I99">
        <v>3.17466E-2</v>
      </c>
    </row>
    <row r="100" spans="1:9" x14ac:dyDescent="0.25">
      <c r="A100" t="s">
        <v>287</v>
      </c>
      <c r="B100" t="s">
        <v>89</v>
      </c>
      <c r="C100">
        <v>1993</v>
      </c>
      <c r="D100" s="130">
        <v>43.799999</v>
      </c>
      <c r="E100" s="130">
        <v>-0.79999920000000002</v>
      </c>
      <c r="F100" s="130">
        <v>3887.29</v>
      </c>
      <c r="G100" s="130">
        <v>1.82972E-2</v>
      </c>
      <c r="H100" s="16">
        <v>2900000</v>
      </c>
      <c r="I100">
        <v>3.3914399999999997E-2</v>
      </c>
    </row>
    <row r="101" spans="1:9" x14ac:dyDescent="0.25">
      <c r="A101" t="s">
        <v>287</v>
      </c>
      <c r="B101" t="s">
        <v>89</v>
      </c>
      <c r="C101">
        <v>1994</v>
      </c>
      <c r="D101" s="130">
        <v>45.799999</v>
      </c>
      <c r="E101" s="130">
        <v>2</v>
      </c>
      <c r="F101" s="130">
        <v>3975.49</v>
      </c>
      <c r="G101" s="130">
        <v>2.2435199999999999E-2</v>
      </c>
      <c r="H101" s="16">
        <v>3000000</v>
      </c>
      <c r="I101">
        <v>3.3229399999999999E-2</v>
      </c>
    </row>
    <row r="102" spans="1:9" x14ac:dyDescent="0.25">
      <c r="A102" t="s">
        <v>287</v>
      </c>
      <c r="B102" t="s">
        <v>89</v>
      </c>
      <c r="C102">
        <v>1995</v>
      </c>
      <c r="D102" s="130">
        <v>48.299999</v>
      </c>
      <c r="E102" s="130">
        <v>2.5</v>
      </c>
      <c r="F102" s="130">
        <v>4067.96</v>
      </c>
      <c r="G102" s="130">
        <v>2.2992100000000001E-2</v>
      </c>
      <c r="H102" s="16">
        <v>3100000</v>
      </c>
      <c r="I102">
        <v>3.61077E-2</v>
      </c>
    </row>
    <row r="103" spans="1:9" x14ac:dyDescent="0.25">
      <c r="A103" t="s">
        <v>287</v>
      </c>
      <c r="B103" t="s">
        <v>89</v>
      </c>
      <c r="C103">
        <v>1996</v>
      </c>
      <c r="D103" s="130">
        <v>50.599997999999999</v>
      </c>
      <c r="E103" s="130">
        <v>2.2999990000000001</v>
      </c>
      <c r="F103" s="130">
        <v>4152.0600000000004</v>
      </c>
      <c r="G103" s="130">
        <v>2.0464900000000001E-2</v>
      </c>
      <c r="H103" s="16">
        <v>3200000</v>
      </c>
      <c r="I103">
        <v>4.9691300000000001E-2</v>
      </c>
    </row>
    <row r="104" spans="1:9" x14ac:dyDescent="0.25">
      <c r="A104" t="s">
        <v>287</v>
      </c>
      <c r="B104" t="s">
        <v>89</v>
      </c>
      <c r="C104">
        <v>1997</v>
      </c>
      <c r="D104" s="130">
        <v>52.900002000000001</v>
      </c>
      <c r="E104" s="130">
        <v>2.3000029999999998</v>
      </c>
      <c r="F104" s="130">
        <v>4264.0600000000004</v>
      </c>
      <c r="G104" s="130">
        <v>2.66161E-2</v>
      </c>
      <c r="H104" s="16">
        <v>3400000</v>
      </c>
      <c r="I104">
        <v>5.1608899999999999E-2</v>
      </c>
    </row>
    <row r="105" spans="1:9" x14ac:dyDescent="0.25">
      <c r="A105" t="s">
        <v>287</v>
      </c>
      <c r="B105" t="s">
        <v>89</v>
      </c>
      <c r="C105">
        <v>1998</v>
      </c>
      <c r="F105" s="130">
        <v>4384.17</v>
      </c>
      <c r="G105" s="130">
        <v>2.7777699999999999E-2</v>
      </c>
      <c r="H105" s="16">
        <v>3400000</v>
      </c>
      <c r="I105">
        <v>2.9662600000000001E-2</v>
      </c>
    </row>
    <row r="106" spans="1:9" x14ac:dyDescent="0.25">
      <c r="A106" t="s">
        <v>287</v>
      </c>
      <c r="B106" t="s">
        <v>89</v>
      </c>
      <c r="C106">
        <v>1999</v>
      </c>
      <c r="D106" s="130">
        <v>69.199996999999996</v>
      </c>
      <c r="F106" s="130">
        <v>4311.79</v>
      </c>
      <c r="G106" s="130">
        <v>-1.66473E-2</v>
      </c>
      <c r="H106" s="16">
        <v>3500000</v>
      </c>
      <c r="I106">
        <v>3.0324899999999998E-2</v>
      </c>
    </row>
    <row r="107" spans="1:9" x14ac:dyDescent="0.25">
      <c r="A107" t="s">
        <v>287</v>
      </c>
      <c r="B107" t="s">
        <v>89</v>
      </c>
      <c r="C107">
        <v>2000</v>
      </c>
      <c r="D107" s="130">
        <v>68.400002000000001</v>
      </c>
      <c r="E107" s="130">
        <v>-0.79999540000000002</v>
      </c>
      <c r="F107" s="130">
        <v>4329.9799999999996</v>
      </c>
      <c r="G107" s="130">
        <v>4.2113999999999997E-3</v>
      </c>
      <c r="H107" s="16">
        <v>3600000</v>
      </c>
      <c r="I107">
        <v>3.09111E-2</v>
      </c>
    </row>
    <row r="108" spans="1:9" x14ac:dyDescent="0.25">
      <c r="A108" t="s">
        <v>287</v>
      </c>
      <c r="B108" t="s">
        <v>89</v>
      </c>
      <c r="C108">
        <v>2001</v>
      </c>
      <c r="D108" s="130">
        <v>67.5</v>
      </c>
      <c r="E108" s="130">
        <v>-0.90000150000000001</v>
      </c>
      <c r="F108" s="130">
        <v>4314.62</v>
      </c>
      <c r="G108" s="130">
        <v>-3.5542999999999998E-3</v>
      </c>
      <c r="H108" s="16">
        <v>3700000</v>
      </c>
      <c r="I108">
        <v>3.5426100000000002E-2</v>
      </c>
    </row>
    <row r="109" spans="1:9" x14ac:dyDescent="0.25">
      <c r="A109" t="s">
        <v>287</v>
      </c>
      <c r="B109" t="s">
        <v>89</v>
      </c>
      <c r="C109">
        <v>2002</v>
      </c>
      <c r="D109" s="130">
        <v>68.5</v>
      </c>
      <c r="E109" s="130">
        <v>1</v>
      </c>
      <c r="F109" s="130">
        <v>4334.72</v>
      </c>
      <c r="G109" s="130">
        <v>4.6473E-3</v>
      </c>
      <c r="H109" s="16">
        <v>3800000</v>
      </c>
      <c r="I109">
        <v>3.8239000000000002E-2</v>
      </c>
    </row>
    <row r="110" spans="1:9" x14ac:dyDescent="0.25">
      <c r="A110" t="s">
        <v>287</v>
      </c>
      <c r="B110" t="s">
        <v>89</v>
      </c>
      <c r="C110">
        <v>2003</v>
      </c>
      <c r="D110" s="130">
        <v>64</v>
      </c>
      <c r="E110" s="130">
        <v>-4.5</v>
      </c>
      <c r="F110" s="130">
        <v>4366.6099999999997</v>
      </c>
      <c r="G110" s="130">
        <v>7.3299000000000003E-3</v>
      </c>
      <c r="H110" s="16">
        <v>3900000</v>
      </c>
      <c r="I110">
        <v>3.7096400000000002E-2</v>
      </c>
    </row>
    <row r="111" spans="1:9" x14ac:dyDescent="0.25">
      <c r="A111" t="s">
        <v>287</v>
      </c>
      <c r="B111" t="s">
        <v>89</v>
      </c>
      <c r="C111">
        <v>2004</v>
      </c>
      <c r="D111" s="130">
        <v>64</v>
      </c>
      <c r="E111" s="130">
        <v>0</v>
      </c>
      <c r="F111" s="130">
        <v>4464.26</v>
      </c>
      <c r="G111" s="130">
        <v>2.2117600000000001E-2</v>
      </c>
      <c r="H111" s="16">
        <v>4000000</v>
      </c>
      <c r="I111">
        <v>3.7983299999999998E-2</v>
      </c>
    </row>
    <row r="112" spans="1:9" x14ac:dyDescent="0.25">
      <c r="A112" t="s">
        <v>287</v>
      </c>
      <c r="B112" t="s">
        <v>89</v>
      </c>
      <c r="C112">
        <v>2005</v>
      </c>
      <c r="D112" s="130">
        <v>65.199996999999996</v>
      </c>
      <c r="E112" s="130">
        <v>1.199997</v>
      </c>
      <c r="F112" s="130">
        <v>4578.38</v>
      </c>
      <c r="G112" s="130">
        <v>2.52409E-2</v>
      </c>
      <c r="H112" s="16">
        <v>4100000</v>
      </c>
      <c r="I112">
        <v>3.8898599999999998E-2</v>
      </c>
    </row>
    <row r="113" spans="1:9" x14ac:dyDescent="0.25">
      <c r="A113" t="s">
        <v>287</v>
      </c>
      <c r="B113" t="s">
        <v>89</v>
      </c>
      <c r="C113">
        <v>2006</v>
      </c>
      <c r="D113" s="130">
        <v>65.400002000000001</v>
      </c>
      <c r="E113" s="130">
        <v>0.2000046</v>
      </c>
      <c r="F113" s="130">
        <v>4715.99</v>
      </c>
      <c r="G113" s="130">
        <v>2.9613500000000001E-2</v>
      </c>
      <c r="H113" s="16">
        <v>4200000</v>
      </c>
      <c r="I113">
        <v>4.2045800000000001E-2</v>
      </c>
    </row>
    <row r="114" spans="1:9" x14ac:dyDescent="0.25">
      <c r="A114" t="s">
        <v>287</v>
      </c>
      <c r="B114" t="s">
        <v>89</v>
      </c>
      <c r="C114">
        <v>2007</v>
      </c>
      <c r="D114" s="130">
        <v>62.700001</v>
      </c>
      <c r="E114" s="130">
        <v>-2.7000009999999999</v>
      </c>
      <c r="F114" s="130">
        <v>4850.1899999999996</v>
      </c>
      <c r="G114" s="130">
        <v>2.8059000000000001E-2</v>
      </c>
      <c r="H114" s="16">
        <v>4300000</v>
      </c>
      <c r="I114">
        <v>4.5304400000000002E-2</v>
      </c>
    </row>
    <row r="115" spans="1:9" x14ac:dyDescent="0.25">
      <c r="A115" t="s">
        <v>287</v>
      </c>
      <c r="B115" t="s">
        <v>89</v>
      </c>
      <c r="C115">
        <v>2008</v>
      </c>
      <c r="D115" s="130">
        <v>62.900002000000001</v>
      </c>
      <c r="E115" s="130">
        <v>0.20000080000000001</v>
      </c>
      <c r="F115" s="130">
        <v>5065.87</v>
      </c>
      <c r="G115" s="130">
        <v>4.3508499999999999E-2</v>
      </c>
      <c r="H115" s="16">
        <v>4400000</v>
      </c>
      <c r="I115">
        <v>4.1630399999999998E-2</v>
      </c>
    </row>
    <row r="116" spans="1:9" x14ac:dyDescent="0.25">
      <c r="A116" t="s">
        <v>287</v>
      </c>
      <c r="B116" t="s">
        <v>89</v>
      </c>
      <c r="C116">
        <v>2009</v>
      </c>
      <c r="D116" s="130">
        <v>59.799999</v>
      </c>
      <c r="E116" s="130">
        <v>-3.1000019999999999</v>
      </c>
      <c r="F116" s="130">
        <v>5152.46</v>
      </c>
      <c r="G116" s="130">
        <v>1.6948700000000001E-2</v>
      </c>
      <c r="H116" s="16">
        <v>4600000</v>
      </c>
      <c r="I116">
        <v>4.7070500000000001E-2</v>
      </c>
    </row>
    <row r="117" spans="1:9" x14ac:dyDescent="0.25">
      <c r="A117" t="s">
        <v>287</v>
      </c>
      <c r="B117" t="s">
        <v>89</v>
      </c>
      <c r="C117">
        <v>2010</v>
      </c>
      <c r="F117" s="130">
        <v>5278.89</v>
      </c>
      <c r="G117" s="130">
        <v>2.4240500000000002E-2</v>
      </c>
      <c r="H117" s="16">
        <v>4700000</v>
      </c>
      <c r="I117">
        <v>4.53999E-2</v>
      </c>
    </row>
    <row r="118" spans="1:9" x14ac:dyDescent="0.25">
      <c r="A118" t="s">
        <v>287</v>
      </c>
      <c r="B118" t="s">
        <v>89</v>
      </c>
      <c r="C118">
        <v>2011</v>
      </c>
      <c r="F118" s="130">
        <v>5461.75</v>
      </c>
      <c r="G118" s="130">
        <v>3.4054800000000003E-2</v>
      </c>
      <c r="H118" s="16">
        <v>4800000</v>
      </c>
      <c r="I118">
        <v>4.3487499999999998E-2</v>
      </c>
    </row>
    <row r="119" spans="1:9" x14ac:dyDescent="0.25">
      <c r="A119" t="s">
        <v>287</v>
      </c>
      <c r="B119" t="s">
        <v>89</v>
      </c>
      <c r="C119">
        <v>2012</v>
      </c>
      <c r="F119" s="130">
        <v>5650.43</v>
      </c>
      <c r="G119" s="130">
        <v>3.3962199999999998E-2</v>
      </c>
      <c r="H119" s="16">
        <v>4900000</v>
      </c>
      <c r="I119">
        <v>4.3944799999999999E-2</v>
      </c>
    </row>
    <row r="120" spans="1:9" x14ac:dyDescent="0.25">
      <c r="A120" t="s">
        <v>287</v>
      </c>
      <c r="B120" t="s">
        <v>89</v>
      </c>
      <c r="C120">
        <v>2013</v>
      </c>
    </row>
    <row r="121" spans="1:9" x14ac:dyDescent="0.25">
      <c r="A121" t="s">
        <v>290</v>
      </c>
      <c r="B121" t="s">
        <v>5</v>
      </c>
      <c r="C121">
        <v>1990</v>
      </c>
      <c r="D121" s="130">
        <v>34.200001</v>
      </c>
      <c r="F121" s="130">
        <v>9996.84</v>
      </c>
      <c r="H121" s="16">
        <v>63000000</v>
      </c>
    </row>
    <row r="122" spans="1:9" x14ac:dyDescent="0.25">
      <c r="A122" t="s">
        <v>290</v>
      </c>
      <c r="B122" t="s">
        <v>5</v>
      </c>
      <c r="C122">
        <v>1991</v>
      </c>
      <c r="F122" s="130">
        <v>9980.91</v>
      </c>
      <c r="G122" s="130">
        <v>-1.5945E-3</v>
      </c>
      <c r="H122" s="16">
        <v>66000000</v>
      </c>
      <c r="I122">
        <v>6.08456E-2</v>
      </c>
    </row>
    <row r="123" spans="1:9" x14ac:dyDescent="0.25">
      <c r="A123" t="s">
        <v>290</v>
      </c>
      <c r="B123" t="s">
        <v>5</v>
      </c>
      <c r="C123">
        <v>1992</v>
      </c>
      <c r="D123" s="130">
        <v>39.400002000000001</v>
      </c>
      <c r="F123" s="130">
        <v>9777.23</v>
      </c>
      <c r="G123" s="130">
        <v>-2.06175E-2</v>
      </c>
      <c r="H123" s="16">
        <v>70000000</v>
      </c>
      <c r="I123">
        <v>6.3250500000000001E-2</v>
      </c>
    </row>
    <row r="124" spans="1:9" x14ac:dyDescent="0.25">
      <c r="A124" t="s">
        <v>290</v>
      </c>
      <c r="B124" t="s">
        <v>5</v>
      </c>
      <c r="C124">
        <v>1993</v>
      </c>
      <c r="D124" s="130">
        <v>39.200001</v>
      </c>
      <c r="E124" s="130">
        <v>-0.20000080000000001</v>
      </c>
      <c r="F124" s="130">
        <v>10076.1</v>
      </c>
      <c r="G124" s="130">
        <v>3.0107499999999999E-2</v>
      </c>
      <c r="H124" s="16">
        <v>72000000</v>
      </c>
      <c r="I124">
        <v>2.4165699999999998E-2</v>
      </c>
    </row>
    <row r="125" spans="1:9" x14ac:dyDescent="0.25">
      <c r="A125" t="s">
        <v>290</v>
      </c>
      <c r="B125" t="s">
        <v>5</v>
      </c>
      <c r="C125">
        <v>1994</v>
      </c>
      <c r="F125" s="130">
        <v>10452.299999999999</v>
      </c>
      <c r="G125" s="130">
        <v>3.6662100000000003E-2</v>
      </c>
      <c r="H125" s="16">
        <v>74000000</v>
      </c>
      <c r="I125">
        <v>2.9875200000000001E-2</v>
      </c>
    </row>
    <row r="126" spans="1:9" x14ac:dyDescent="0.25">
      <c r="A126" t="s">
        <v>290</v>
      </c>
      <c r="B126" t="s">
        <v>5</v>
      </c>
      <c r="C126">
        <v>1995</v>
      </c>
      <c r="D126" s="130">
        <v>39.900002000000001</v>
      </c>
      <c r="F126" s="130">
        <v>10748.3</v>
      </c>
      <c r="G126" s="130">
        <v>2.7922599999999999E-2</v>
      </c>
      <c r="H126" s="16">
        <v>76000000</v>
      </c>
      <c r="I126">
        <v>3.0695299999999998E-2</v>
      </c>
    </row>
    <row r="127" spans="1:9" x14ac:dyDescent="0.25">
      <c r="A127" t="s">
        <v>290</v>
      </c>
      <c r="B127" t="s">
        <v>5</v>
      </c>
      <c r="C127">
        <v>1996</v>
      </c>
      <c r="D127" s="130">
        <v>38.299999</v>
      </c>
      <c r="E127" s="130">
        <v>-1.6000019999999999</v>
      </c>
      <c r="F127" s="130">
        <v>10812.3</v>
      </c>
      <c r="G127" s="130">
        <v>5.9376000000000003E-3</v>
      </c>
      <c r="H127" s="16">
        <v>75000000</v>
      </c>
      <c r="I127">
        <v>-6.0302999999999997E-3</v>
      </c>
    </row>
    <row r="128" spans="1:9" x14ac:dyDescent="0.25">
      <c r="A128" t="s">
        <v>290</v>
      </c>
      <c r="B128" t="s">
        <v>5</v>
      </c>
      <c r="C128">
        <v>1997</v>
      </c>
      <c r="F128" s="130">
        <v>11007.6</v>
      </c>
      <c r="G128" s="130">
        <v>1.7901400000000001E-2</v>
      </c>
      <c r="H128" s="16">
        <v>78000000</v>
      </c>
      <c r="I128">
        <v>4.23481E-2</v>
      </c>
    </row>
    <row r="129" spans="1:9" x14ac:dyDescent="0.25">
      <c r="A129" t="s">
        <v>290</v>
      </c>
      <c r="B129" t="s">
        <v>5</v>
      </c>
      <c r="C129">
        <v>1998</v>
      </c>
      <c r="F129" s="130">
        <v>10846</v>
      </c>
      <c r="G129" s="130">
        <v>-1.4787700000000001E-2</v>
      </c>
      <c r="H129" s="16">
        <v>80000000</v>
      </c>
      <c r="I129">
        <v>2.99835E-2</v>
      </c>
    </row>
    <row r="130" spans="1:9" x14ac:dyDescent="0.25">
      <c r="A130" t="s">
        <v>290</v>
      </c>
      <c r="B130" t="s">
        <v>5</v>
      </c>
      <c r="C130">
        <v>1999</v>
      </c>
      <c r="F130" s="130">
        <v>10713.6</v>
      </c>
      <c r="G130" s="130">
        <v>-1.2289E-2</v>
      </c>
      <c r="H130" s="16">
        <v>82000000</v>
      </c>
      <c r="I130">
        <v>4.3012399999999999E-2</v>
      </c>
    </row>
    <row r="131" spans="1:9" x14ac:dyDescent="0.25">
      <c r="A131" t="s">
        <v>290</v>
      </c>
      <c r="B131" t="s">
        <v>5</v>
      </c>
      <c r="C131">
        <v>2000</v>
      </c>
      <c r="D131" s="130">
        <v>30.299999</v>
      </c>
      <c r="F131" s="130">
        <v>11014.9</v>
      </c>
      <c r="G131" s="130">
        <v>2.77348E-2</v>
      </c>
      <c r="H131" s="16">
        <v>84000000</v>
      </c>
      <c r="I131">
        <v>2.1144900000000001E-2</v>
      </c>
    </row>
    <row r="132" spans="1:9" x14ac:dyDescent="0.25">
      <c r="A132" t="s">
        <v>290</v>
      </c>
      <c r="B132" t="s">
        <v>5</v>
      </c>
      <c r="C132">
        <v>2001</v>
      </c>
      <c r="D132" s="130">
        <v>37.900002000000001</v>
      </c>
      <c r="E132" s="130">
        <v>7.6000019999999999</v>
      </c>
      <c r="F132" s="130">
        <v>11004.4</v>
      </c>
      <c r="G132" s="130">
        <v>-9.5370000000000003E-4</v>
      </c>
      <c r="H132" s="16">
        <v>85000000</v>
      </c>
      <c r="I132">
        <v>1.98113E-2</v>
      </c>
    </row>
    <row r="133" spans="1:9" x14ac:dyDescent="0.25">
      <c r="A133" t="s">
        <v>290</v>
      </c>
      <c r="B133" t="s">
        <v>5</v>
      </c>
      <c r="C133">
        <v>2002</v>
      </c>
      <c r="D133" s="130">
        <v>38</v>
      </c>
      <c r="E133" s="130">
        <v>9.9998500000000004E-2</v>
      </c>
      <c r="F133" s="130">
        <v>11143.9</v>
      </c>
      <c r="G133" s="130">
        <v>1.2599900000000001E-2</v>
      </c>
      <c r="H133" s="16">
        <v>88000000</v>
      </c>
      <c r="I133">
        <v>4.3089299999999997E-2</v>
      </c>
    </row>
    <row r="134" spans="1:9" x14ac:dyDescent="0.25">
      <c r="A134" t="s">
        <v>290</v>
      </c>
      <c r="B134" t="s">
        <v>5</v>
      </c>
      <c r="C134">
        <v>2003</v>
      </c>
      <c r="D134" s="130">
        <v>37.900002000000001</v>
      </c>
      <c r="E134" s="130">
        <v>-9.9998500000000004E-2</v>
      </c>
      <c r="F134" s="130">
        <v>11125.4</v>
      </c>
      <c r="G134" s="130">
        <v>-1.6632000000000001E-3</v>
      </c>
      <c r="H134" s="16">
        <v>89000000</v>
      </c>
      <c r="I134">
        <v>2.8230999999999999E-2</v>
      </c>
    </row>
    <row r="135" spans="1:9" x14ac:dyDescent="0.25">
      <c r="A135" t="s">
        <v>290</v>
      </c>
      <c r="B135" t="s">
        <v>5</v>
      </c>
      <c r="C135">
        <v>2004</v>
      </c>
      <c r="D135" s="130">
        <v>37.099997999999999</v>
      </c>
      <c r="E135" s="130">
        <v>-0.80000309999999997</v>
      </c>
      <c r="F135" s="130">
        <v>11616.8</v>
      </c>
      <c r="G135" s="130">
        <v>4.3223400000000002E-2</v>
      </c>
      <c r="H135" s="16">
        <v>92000000</v>
      </c>
      <c r="I135">
        <v>4.0229599999999997E-2</v>
      </c>
    </row>
    <row r="136" spans="1:9" x14ac:dyDescent="0.25">
      <c r="A136" t="s">
        <v>290</v>
      </c>
      <c r="B136" t="s">
        <v>5</v>
      </c>
      <c r="C136">
        <v>2005</v>
      </c>
      <c r="D136" s="130">
        <v>32.599997999999999</v>
      </c>
      <c r="E136" s="130">
        <v>-4.5</v>
      </c>
      <c r="F136" s="130">
        <v>11846.2</v>
      </c>
      <c r="G136" s="130">
        <v>1.9555099999999999E-2</v>
      </c>
      <c r="H136" s="16">
        <v>95000000</v>
      </c>
      <c r="I136">
        <v>4.22137E-2</v>
      </c>
    </row>
    <row r="137" spans="1:9" x14ac:dyDescent="0.25">
      <c r="A137" t="s">
        <v>290</v>
      </c>
      <c r="B137" t="s">
        <v>5</v>
      </c>
      <c r="C137">
        <v>2006</v>
      </c>
      <c r="D137" s="130">
        <v>31.700001</v>
      </c>
      <c r="E137" s="130">
        <v>-0.89999770000000001</v>
      </c>
      <c r="F137" s="130">
        <v>12184.4</v>
      </c>
      <c r="G137" s="130">
        <v>2.8147700000000001E-2</v>
      </c>
      <c r="H137" s="16">
        <v>96000000</v>
      </c>
      <c r="I137">
        <v>1.7932500000000001E-2</v>
      </c>
    </row>
    <row r="138" spans="1:9" x14ac:dyDescent="0.25">
      <c r="A138" t="s">
        <v>290</v>
      </c>
      <c r="B138" t="s">
        <v>5</v>
      </c>
      <c r="C138">
        <v>2007</v>
      </c>
      <c r="D138" s="130">
        <v>30.799999</v>
      </c>
      <c r="E138" s="130">
        <v>-0.90000150000000001</v>
      </c>
      <c r="F138" s="130">
        <v>12800.3</v>
      </c>
      <c r="G138" s="130">
        <v>4.9317399999999997E-2</v>
      </c>
      <c r="H138" s="16">
        <v>97000000</v>
      </c>
      <c r="I138">
        <v>1.4781799999999999E-2</v>
      </c>
    </row>
    <row r="139" spans="1:9" x14ac:dyDescent="0.25">
      <c r="A139" t="s">
        <v>290</v>
      </c>
      <c r="B139" t="s">
        <v>5</v>
      </c>
      <c r="C139">
        <v>2008</v>
      </c>
      <c r="D139" s="130">
        <v>29.700001</v>
      </c>
      <c r="E139" s="130">
        <v>-1.099998</v>
      </c>
      <c r="F139" s="130">
        <v>13337.9</v>
      </c>
      <c r="G139" s="130">
        <v>4.11358E-2</v>
      </c>
      <c r="H139" s="16">
        <v>98000000</v>
      </c>
      <c r="I139">
        <v>2.7693700000000002E-2</v>
      </c>
    </row>
    <row r="140" spans="1:9" x14ac:dyDescent="0.25">
      <c r="A140" t="s">
        <v>290</v>
      </c>
      <c r="B140" t="s">
        <v>5</v>
      </c>
      <c r="C140">
        <v>2009</v>
      </c>
      <c r="D140" s="130">
        <v>29.4</v>
      </c>
      <c r="E140" s="130">
        <v>-0.30000110000000002</v>
      </c>
      <c r="F140" s="130">
        <v>13175.6</v>
      </c>
      <c r="G140" s="130">
        <v>-1.2245199999999999E-2</v>
      </c>
      <c r="H140" s="16">
        <v>100000000</v>
      </c>
      <c r="I140">
        <v>2.5645100000000001E-2</v>
      </c>
    </row>
    <row r="141" spans="1:9" x14ac:dyDescent="0.25">
      <c r="A141" t="s">
        <v>290</v>
      </c>
      <c r="B141" t="s">
        <v>5</v>
      </c>
      <c r="C141">
        <v>2010</v>
      </c>
      <c r="F141" s="130">
        <v>14043.4</v>
      </c>
      <c r="G141" s="130">
        <v>6.3787499999999997E-2</v>
      </c>
      <c r="H141" s="16">
        <v>100000000</v>
      </c>
      <c r="I141">
        <v>2.8476100000000001E-2</v>
      </c>
    </row>
    <row r="142" spans="1:9" x14ac:dyDescent="0.25">
      <c r="A142" t="s">
        <v>290</v>
      </c>
      <c r="B142" t="s">
        <v>5</v>
      </c>
      <c r="C142">
        <v>2011</v>
      </c>
      <c r="F142" s="130">
        <v>14300.7</v>
      </c>
      <c r="G142" s="130">
        <v>1.8160800000000001E-2</v>
      </c>
      <c r="H142" s="16">
        <v>100000000</v>
      </c>
      <c r="I142">
        <v>2.2065999999999999E-2</v>
      </c>
    </row>
    <row r="143" spans="1:9" x14ac:dyDescent="0.25">
      <c r="A143" t="s">
        <v>290</v>
      </c>
      <c r="B143" t="s">
        <v>5</v>
      </c>
      <c r="C143">
        <v>2012</v>
      </c>
      <c r="F143" s="130">
        <v>14300.6</v>
      </c>
      <c r="G143" s="130">
        <v>-1.1399999999999999E-5</v>
      </c>
      <c r="H143" s="16">
        <v>100000000</v>
      </c>
      <c r="I143">
        <v>2.47999E-2</v>
      </c>
    </row>
    <row r="144" spans="1:9" x14ac:dyDescent="0.25">
      <c r="A144" t="s">
        <v>290</v>
      </c>
      <c r="B144" t="s">
        <v>5</v>
      </c>
      <c r="C144">
        <v>2013</v>
      </c>
    </row>
    <row r="145" spans="1:9" x14ac:dyDescent="0.25">
      <c r="A145" t="s">
        <v>281</v>
      </c>
      <c r="B145" t="s">
        <v>224</v>
      </c>
      <c r="C145">
        <v>1990</v>
      </c>
      <c r="D145" s="130">
        <v>12.5</v>
      </c>
      <c r="F145" s="130">
        <v>13025</v>
      </c>
      <c r="H145">
        <v>136229</v>
      </c>
    </row>
    <row r="146" spans="1:9" x14ac:dyDescent="0.25">
      <c r="A146" t="s">
        <v>281</v>
      </c>
      <c r="B146" t="s">
        <v>224</v>
      </c>
      <c r="C146">
        <v>1991</v>
      </c>
      <c r="D146" s="130">
        <v>12.7</v>
      </c>
      <c r="E146" s="130">
        <v>0.19999980000000001</v>
      </c>
      <c r="F146" s="130">
        <v>12604.9</v>
      </c>
      <c r="G146" s="130">
        <v>-3.27835E-2</v>
      </c>
      <c r="H146">
        <v>134263</v>
      </c>
      <c r="I146">
        <v>-1.4428099999999999E-2</v>
      </c>
    </row>
    <row r="147" spans="1:9" x14ac:dyDescent="0.25">
      <c r="A147" t="s">
        <v>281</v>
      </c>
      <c r="B147" t="s">
        <v>224</v>
      </c>
      <c r="C147">
        <v>1992</v>
      </c>
      <c r="D147" s="130">
        <v>13</v>
      </c>
      <c r="E147" s="130">
        <v>0.30000019999999999</v>
      </c>
      <c r="F147" s="130">
        <v>11941.1</v>
      </c>
      <c r="G147" s="130">
        <v>-5.4094299999999998E-2</v>
      </c>
      <c r="H147">
        <v>136285</v>
      </c>
      <c r="I147">
        <v>1.4840300000000001E-2</v>
      </c>
    </row>
    <row r="148" spans="1:9" x14ac:dyDescent="0.25">
      <c r="A148" t="s">
        <v>281</v>
      </c>
      <c r="B148" t="s">
        <v>224</v>
      </c>
      <c r="C148">
        <v>1993</v>
      </c>
      <c r="D148" s="130">
        <v>14.2</v>
      </c>
      <c r="E148" s="130">
        <v>1.2</v>
      </c>
      <c r="F148" s="130">
        <v>12024.6</v>
      </c>
      <c r="G148" s="130">
        <v>6.9617999999999998E-3</v>
      </c>
      <c r="H148">
        <v>137799</v>
      </c>
      <c r="I148">
        <v>1.11147E-2</v>
      </c>
    </row>
    <row r="149" spans="1:9" x14ac:dyDescent="0.25">
      <c r="A149" t="s">
        <v>281</v>
      </c>
      <c r="B149" t="s">
        <v>224</v>
      </c>
      <c r="C149">
        <v>1994</v>
      </c>
      <c r="D149" s="130">
        <v>13</v>
      </c>
      <c r="E149" s="130">
        <v>-1.2</v>
      </c>
      <c r="F149" s="130">
        <v>12467.9</v>
      </c>
      <c r="G149" s="130">
        <v>3.6205300000000003E-2</v>
      </c>
      <c r="H149">
        <v>139068</v>
      </c>
      <c r="I149">
        <v>9.3144000000000005E-3</v>
      </c>
    </row>
    <row r="150" spans="1:9" x14ac:dyDescent="0.25">
      <c r="A150" t="s">
        <v>281</v>
      </c>
      <c r="B150" t="s">
        <v>224</v>
      </c>
      <c r="C150">
        <v>1995</v>
      </c>
      <c r="D150" s="130">
        <v>12.7</v>
      </c>
      <c r="E150" s="130">
        <v>-0.30000019999999999</v>
      </c>
      <c r="F150" s="130">
        <v>12618.9</v>
      </c>
      <c r="G150" s="130">
        <v>1.20363E-2</v>
      </c>
      <c r="H150">
        <v>140969</v>
      </c>
      <c r="I150">
        <v>1.39557E-2</v>
      </c>
    </row>
    <row r="151" spans="1:9" x14ac:dyDescent="0.25">
      <c r="A151" t="s">
        <v>281</v>
      </c>
      <c r="B151" t="s">
        <v>224</v>
      </c>
      <c r="C151">
        <v>1996</v>
      </c>
      <c r="D151" s="130">
        <v>12.7</v>
      </c>
      <c r="E151" s="130">
        <v>0</v>
      </c>
      <c r="F151" s="130">
        <v>12815.3</v>
      </c>
      <c r="G151" s="130">
        <v>1.54457E-2</v>
      </c>
      <c r="H151">
        <v>140056</v>
      </c>
      <c r="I151">
        <v>-6.7019000000000002E-3</v>
      </c>
    </row>
    <row r="152" spans="1:9" x14ac:dyDescent="0.25">
      <c r="A152" t="s">
        <v>281</v>
      </c>
      <c r="B152" t="s">
        <v>224</v>
      </c>
      <c r="C152">
        <v>1997</v>
      </c>
      <c r="D152" s="130">
        <v>12</v>
      </c>
      <c r="E152" s="130">
        <v>-0.69999979999999995</v>
      </c>
      <c r="F152" s="130">
        <v>13597.6</v>
      </c>
      <c r="G152" s="130">
        <v>5.9252699999999998E-2</v>
      </c>
      <c r="H152">
        <v>140992</v>
      </c>
      <c r="I152">
        <v>6.8701999999999999E-3</v>
      </c>
    </row>
    <row r="153" spans="1:9" x14ac:dyDescent="0.25">
      <c r="A153" t="s">
        <v>281</v>
      </c>
      <c r="B153" t="s">
        <v>224</v>
      </c>
      <c r="C153">
        <v>1998</v>
      </c>
      <c r="D153" s="130">
        <v>12.5</v>
      </c>
      <c r="E153" s="130">
        <v>0.5</v>
      </c>
      <c r="F153" s="130">
        <v>14116</v>
      </c>
      <c r="G153" s="130">
        <v>3.7417400000000003E-2</v>
      </c>
      <c r="H153">
        <v>142391</v>
      </c>
      <c r="I153">
        <v>1.02699E-2</v>
      </c>
    </row>
    <row r="154" spans="1:9" x14ac:dyDescent="0.25">
      <c r="A154" t="s">
        <v>281</v>
      </c>
      <c r="B154" t="s">
        <v>224</v>
      </c>
      <c r="C154">
        <v>1999</v>
      </c>
      <c r="D154" s="130">
        <v>14</v>
      </c>
      <c r="E154" s="130">
        <v>1.5</v>
      </c>
      <c r="F154" s="130">
        <v>14435.7</v>
      </c>
      <c r="G154" s="130">
        <v>2.2398899999999999E-2</v>
      </c>
      <c r="H154">
        <v>143663</v>
      </c>
      <c r="I154">
        <v>9.3384999999999996E-3</v>
      </c>
    </row>
    <row r="155" spans="1:9" x14ac:dyDescent="0.25">
      <c r="A155" t="s">
        <v>281</v>
      </c>
      <c r="B155" t="s">
        <v>224</v>
      </c>
      <c r="C155">
        <v>2000</v>
      </c>
      <c r="D155" s="130">
        <v>12.7</v>
      </c>
      <c r="E155" s="130">
        <v>-1.3</v>
      </c>
      <c r="F155" s="130">
        <v>14714.2</v>
      </c>
      <c r="G155" s="130">
        <v>1.91021E-2</v>
      </c>
      <c r="H155">
        <v>145446</v>
      </c>
      <c r="I155">
        <v>1.30861E-2</v>
      </c>
    </row>
    <row r="156" spans="1:9" x14ac:dyDescent="0.25">
      <c r="A156" t="s">
        <v>281</v>
      </c>
      <c r="B156" t="s">
        <v>224</v>
      </c>
      <c r="C156">
        <v>2001</v>
      </c>
      <c r="D156" s="130">
        <v>14.1</v>
      </c>
      <c r="E156" s="130">
        <v>1.4000010000000001</v>
      </c>
      <c r="F156" s="130">
        <v>14279.8</v>
      </c>
      <c r="G156" s="130">
        <v>-2.9963500000000001E-2</v>
      </c>
      <c r="H156">
        <v>147131</v>
      </c>
      <c r="I156">
        <v>1.2370000000000001E-2</v>
      </c>
    </row>
    <row r="157" spans="1:9" x14ac:dyDescent="0.25">
      <c r="A157" t="s">
        <v>281</v>
      </c>
      <c r="B157" t="s">
        <v>224</v>
      </c>
      <c r="C157">
        <v>2002</v>
      </c>
      <c r="D157" s="130">
        <v>14.1</v>
      </c>
      <c r="E157" s="130">
        <v>0</v>
      </c>
      <c r="F157" s="130">
        <v>14310.4</v>
      </c>
      <c r="G157" s="130">
        <v>2.1372000000000001E-3</v>
      </c>
      <c r="H157">
        <v>146807</v>
      </c>
      <c r="I157">
        <v>-2.3812999999999998E-3</v>
      </c>
    </row>
    <row r="158" spans="1:9" x14ac:dyDescent="0.25">
      <c r="A158" t="s">
        <v>281</v>
      </c>
      <c r="B158" t="s">
        <v>224</v>
      </c>
      <c r="C158">
        <v>2003</v>
      </c>
      <c r="D158" s="130">
        <v>14.4</v>
      </c>
      <c r="E158" s="130">
        <v>0.29999920000000002</v>
      </c>
      <c r="F158" s="130">
        <v>14521.6</v>
      </c>
      <c r="G158" s="130">
        <v>1.46532E-2</v>
      </c>
      <c r="H158">
        <v>148665</v>
      </c>
      <c r="I158">
        <v>1.36417E-2</v>
      </c>
    </row>
    <row r="159" spans="1:9" x14ac:dyDescent="0.25">
      <c r="A159" t="s">
        <v>281</v>
      </c>
      <c r="B159" t="s">
        <v>224</v>
      </c>
      <c r="C159">
        <v>2004</v>
      </c>
      <c r="D159" s="130">
        <v>15.2</v>
      </c>
      <c r="E159" s="130">
        <v>0.80000020000000005</v>
      </c>
      <c r="F159" s="130">
        <v>14656.1</v>
      </c>
      <c r="G159" s="130">
        <v>9.2181999999999993E-3</v>
      </c>
      <c r="H159">
        <v>151651</v>
      </c>
      <c r="I159">
        <v>2.1923100000000001E-2</v>
      </c>
    </row>
    <row r="160" spans="1:9" x14ac:dyDescent="0.25">
      <c r="A160" t="s">
        <v>281</v>
      </c>
      <c r="B160" t="s">
        <v>224</v>
      </c>
      <c r="C160">
        <v>2005</v>
      </c>
      <c r="F160" s="130">
        <v>15165.9</v>
      </c>
      <c r="G160" s="130">
        <v>3.41949E-2</v>
      </c>
      <c r="H160">
        <v>153373</v>
      </c>
      <c r="I160">
        <v>1.2636100000000001E-2</v>
      </c>
    </row>
    <row r="161" spans="1:9" x14ac:dyDescent="0.25">
      <c r="A161" t="s">
        <v>281</v>
      </c>
      <c r="B161" t="s">
        <v>224</v>
      </c>
      <c r="C161">
        <v>2006</v>
      </c>
      <c r="F161" s="130">
        <v>15952.3</v>
      </c>
      <c r="G161" s="130">
        <v>5.0555200000000002E-2</v>
      </c>
      <c r="H161">
        <v>154889</v>
      </c>
      <c r="I161">
        <v>1.11284E-2</v>
      </c>
    </row>
    <row r="162" spans="1:9" x14ac:dyDescent="0.25">
      <c r="A162" t="s">
        <v>281</v>
      </c>
      <c r="B162" t="s">
        <v>224</v>
      </c>
      <c r="C162">
        <v>2007</v>
      </c>
      <c r="F162" s="130">
        <v>16139.4</v>
      </c>
      <c r="G162" s="130">
        <v>1.1658699999999999E-2</v>
      </c>
      <c r="H162">
        <v>156407</v>
      </c>
      <c r="I162">
        <v>1.1145E-2</v>
      </c>
    </row>
    <row r="163" spans="1:9" x14ac:dyDescent="0.25">
      <c r="A163" t="s">
        <v>281</v>
      </c>
      <c r="B163" t="s">
        <v>224</v>
      </c>
      <c r="C163">
        <v>2008</v>
      </c>
      <c r="F163" s="130">
        <v>16115.6</v>
      </c>
      <c r="G163" s="130">
        <v>-1.4744000000000001E-3</v>
      </c>
      <c r="H163">
        <v>158148</v>
      </c>
      <c r="I163">
        <v>1.2775699999999999E-2</v>
      </c>
    </row>
    <row r="164" spans="1:9" x14ac:dyDescent="0.25">
      <c r="A164" t="s">
        <v>281</v>
      </c>
      <c r="B164" t="s">
        <v>224</v>
      </c>
      <c r="C164">
        <v>2009</v>
      </c>
      <c r="F164" s="130">
        <v>15372.5</v>
      </c>
      <c r="G164" s="130">
        <v>-4.7206900000000003E-2</v>
      </c>
      <c r="H164">
        <v>159858</v>
      </c>
      <c r="I164">
        <v>1.25524E-2</v>
      </c>
    </row>
    <row r="165" spans="1:9" x14ac:dyDescent="0.25">
      <c r="A165" t="s">
        <v>281</v>
      </c>
      <c r="B165" t="s">
        <v>224</v>
      </c>
      <c r="C165">
        <v>2010</v>
      </c>
      <c r="F165" s="130">
        <v>15335.1</v>
      </c>
      <c r="G165" s="130">
        <v>-2.4385000000000001E-3</v>
      </c>
      <c r="H165">
        <v>161078</v>
      </c>
      <c r="I165">
        <v>8.9581999999999995E-3</v>
      </c>
    </row>
    <row r="166" spans="1:9" x14ac:dyDescent="0.25">
      <c r="A166" t="s">
        <v>281</v>
      </c>
      <c r="B166" t="s">
        <v>224</v>
      </c>
      <c r="C166">
        <v>2011</v>
      </c>
      <c r="F166" s="130">
        <v>15374.2</v>
      </c>
      <c r="G166" s="130">
        <v>2.5473000000000002E-3</v>
      </c>
      <c r="H166">
        <v>162471</v>
      </c>
      <c r="I166">
        <v>1.0223400000000001E-2</v>
      </c>
    </row>
    <row r="167" spans="1:9" x14ac:dyDescent="0.25">
      <c r="A167" t="s">
        <v>281</v>
      </c>
      <c r="B167" t="s">
        <v>224</v>
      </c>
      <c r="C167">
        <v>2012</v>
      </c>
      <c r="F167" s="130">
        <v>15298.7</v>
      </c>
      <c r="G167" s="130">
        <v>-4.9229E-3</v>
      </c>
      <c r="H167">
        <v>163584</v>
      </c>
      <c r="I167">
        <v>8.1700000000000002E-3</v>
      </c>
    </row>
    <row r="168" spans="1:9" x14ac:dyDescent="0.25">
      <c r="A168" t="s">
        <v>281</v>
      </c>
      <c r="B168" t="s">
        <v>224</v>
      </c>
      <c r="C168">
        <v>2013</v>
      </c>
    </row>
    <row r="169" spans="1:9" x14ac:dyDescent="0.25">
      <c r="A169" t="s">
        <v>298</v>
      </c>
      <c r="B169" t="s">
        <v>162</v>
      </c>
      <c r="C169">
        <v>1990</v>
      </c>
      <c r="D169" s="130">
        <v>14.4</v>
      </c>
      <c r="F169" s="130">
        <v>30318.5</v>
      </c>
      <c r="H169" s="16">
        <v>15000000</v>
      </c>
    </row>
    <row r="170" spans="1:9" x14ac:dyDescent="0.25">
      <c r="A170" t="s">
        <v>298</v>
      </c>
      <c r="B170" t="s">
        <v>162</v>
      </c>
      <c r="C170">
        <v>1991</v>
      </c>
      <c r="D170" s="130">
        <v>14.9</v>
      </c>
      <c r="E170" s="130">
        <v>0.5</v>
      </c>
      <c r="F170" s="130">
        <v>29283.1</v>
      </c>
      <c r="G170" s="130">
        <v>-3.4749000000000002E-2</v>
      </c>
      <c r="H170" s="16">
        <v>15000000</v>
      </c>
      <c r="I170">
        <v>6.7067000000000003E-3</v>
      </c>
    </row>
    <row r="171" spans="1:9" x14ac:dyDescent="0.25">
      <c r="A171" t="s">
        <v>298</v>
      </c>
      <c r="B171" t="s">
        <v>162</v>
      </c>
      <c r="C171">
        <v>1992</v>
      </c>
      <c r="D171" s="130">
        <v>15.1</v>
      </c>
      <c r="E171" s="130">
        <v>0.20000080000000001</v>
      </c>
      <c r="F171" s="130">
        <v>29179</v>
      </c>
      <c r="G171" s="130">
        <v>-3.5601000000000001E-3</v>
      </c>
      <c r="H171" s="16">
        <v>15000000</v>
      </c>
      <c r="I171">
        <v>-2.5024000000000001E-3</v>
      </c>
    </row>
    <row r="172" spans="1:9" x14ac:dyDescent="0.25">
      <c r="A172" t="s">
        <v>298</v>
      </c>
      <c r="B172" t="s">
        <v>162</v>
      </c>
      <c r="C172">
        <v>1993</v>
      </c>
      <c r="D172" s="130">
        <v>15.8</v>
      </c>
      <c r="E172" s="130">
        <v>0.69999979999999995</v>
      </c>
      <c r="F172" s="130">
        <v>29536.400000000001</v>
      </c>
      <c r="G172" s="130">
        <v>1.21727E-2</v>
      </c>
      <c r="H172" s="16">
        <v>15000000</v>
      </c>
      <c r="I172">
        <v>6.9154999999999998E-3</v>
      </c>
    </row>
    <row r="173" spans="1:9" x14ac:dyDescent="0.25">
      <c r="A173" t="s">
        <v>298</v>
      </c>
      <c r="B173" t="s">
        <v>162</v>
      </c>
      <c r="C173">
        <v>1994</v>
      </c>
      <c r="D173" s="130">
        <v>15.9</v>
      </c>
      <c r="E173" s="130">
        <v>9.9999400000000002E-2</v>
      </c>
      <c r="F173" s="130">
        <v>30659.200000000001</v>
      </c>
      <c r="G173" s="130">
        <v>3.73116E-2</v>
      </c>
      <c r="H173" s="16">
        <v>15000000</v>
      </c>
      <c r="I173">
        <v>7.5573000000000003E-3</v>
      </c>
    </row>
    <row r="174" spans="1:9" x14ac:dyDescent="0.25">
      <c r="A174" t="s">
        <v>298</v>
      </c>
      <c r="B174" t="s">
        <v>162</v>
      </c>
      <c r="C174">
        <v>1995</v>
      </c>
      <c r="D174" s="130">
        <v>15.8</v>
      </c>
      <c r="E174" s="130">
        <v>-9.9999400000000002E-2</v>
      </c>
      <c r="F174" s="130">
        <v>31260.3</v>
      </c>
      <c r="G174" s="130">
        <v>1.94159E-2</v>
      </c>
      <c r="H174" s="16">
        <v>15000000</v>
      </c>
      <c r="I174">
        <v>3.6722E-3</v>
      </c>
    </row>
    <row r="175" spans="1:9" x14ac:dyDescent="0.25">
      <c r="A175" t="s">
        <v>298</v>
      </c>
      <c r="B175" t="s">
        <v>162</v>
      </c>
      <c r="C175">
        <v>1996</v>
      </c>
      <c r="D175" s="130">
        <v>16.600000000000001</v>
      </c>
      <c r="E175" s="130">
        <v>0.80000020000000005</v>
      </c>
      <c r="F175" s="130">
        <v>31426</v>
      </c>
      <c r="G175" s="130">
        <v>5.2861999999999996E-3</v>
      </c>
      <c r="H175" s="16">
        <v>15000000</v>
      </c>
      <c r="I175">
        <v>1.0101300000000001E-2</v>
      </c>
    </row>
    <row r="176" spans="1:9" x14ac:dyDescent="0.25">
      <c r="A176" t="s">
        <v>298</v>
      </c>
      <c r="B176" t="s">
        <v>162</v>
      </c>
      <c r="C176">
        <v>1997</v>
      </c>
      <c r="D176" s="130">
        <v>17.100000000000001</v>
      </c>
      <c r="E176" s="130">
        <v>0.5</v>
      </c>
      <c r="F176" s="130">
        <v>32409.599999999999</v>
      </c>
      <c r="G176" s="130">
        <v>3.0820799999999999E-2</v>
      </c>
      <c r="H176" s="16">
        <v>15000000</v>
      </c>
      <c r="I176">
        <v>1.71123E-2</v>
      </c>
    </row>
    <row r="177" spans="1:9" x14ac:dyDescent="0.25">
      <c r="A177" t="s">
        <v>298</v>
      </c>
      <c r="B177" t="s">
        <v>162</v>
      </c>
      <c r="C177">
        <v>1998</v>
      </c>
      <c r="D177" s="130">
        <v>17.100000000000001</v>
      </c>
      <c r="E177" s="130">
        <v>0</v>
      </c>
      <c r="F177" s="130">
        <v>33446.800000000003</v>
      </c>
      <c r="G177" s="130">
        <v>3.1500800000000002E-2</v>
      </c>
      <c r="H177" s="16">
        <v>16000000</v>
      </c>
      <c r="I177">
        <v>1.7483499999999999E-2</v>
      </c>
    </row>
    <row r="178" spans="1:9" x14ac:dyDescent="0.25">
      <c r="A178" t="s">
        <v>298</v>
      </c>
      <c r="B178" t="s">
        <v>162</v>
      </c>
      <c r="C178">
        <v>1999</v>
      </c>
      <c r="D178" s="130">
        <v>17</v>
      </c>
      <c r="E178" s="130">
        <v>-0.1000004</v>
      </c>
      <c r="F178" s="130">
        <v>35006.199999999997</v>
      </c>
      <c r="G178" s="130">
        <v>4.5568499999999998E-2</v>
      </c>
      <c r="H178" s="16">
        <v>16000000</v>
      </c>
      <c r="I178">
        <v>1.9293500000000002E-2</v>
      </c>
    </row>
    <row r="179" spans="1:9" x14ac:dyDescent="0.25">
      <c r="A179" t="s">
        <v>298</v>
      </c>
      <c r="B179" t="s">
        <v>162</v>
      </c>
      <c r="C179">
        <v>2000</v>
      </c>
      <c r="D179" s="130">
        <v>16.200001</v>
      </c>
      <c r="E179" s="130">
        <v>-0.79999920000000002</v>
      </c>
      <c r="F179" s="130">
        <v>36514.300000000003</v>
      </c>
      <c r="G179" s="130">
        <v>4.2179099999999997E-2</v>
      </c>
      <c r="H179" s="16">
        <v>16000000</v>
      </c>
      <c r="I179">
        <v>1.6961899999999999E-2</v>
      </c>
    </row>
    <row r="180" spans="1:9" x14ac:dyDescent="0.25">
      <c r="A180" t="s">
        <v>298</v>
      </c>
      <c r="B180" t="s">
        <v>162</v>
      </c>
      <c r="C180">
        <v>2001</v>
      </c>
      <c r="D180" s="130">
        <v>15.2</v>
      </c>
      <c r="E180" s="130">
        <v>-1.0000009999999999</v>
      </c>
      <c r="F180" s="130">
        <v>36792.400000000001</v>
      </c>
      <c r="G180" s="130">
        <v>7.5855000000000002E-3</v>
      </c>
      <c r="H180" s="16">
        <v>16000000</v>
      </c>
      <c r="I180">
        <v>1.6972299999999999E-2</v>
      </c>
    </row>
    <row r="181" spans="1:9" x14ac:dyDescent="0.25">
      <c r="A181" t="s">
        <v>298</v>
      </c>
      <c r="B181" t="s">
        <v>162</v>
      </c>
      <c r="C181">
        <v>2002</v>
      </c>
      <c r="D181" s="130">
        <v>15.1</v>
      </c>
      <c r="E181" s="130">
        <v>-9.9999400000000002E-2</v>
      </c>
      <c r="F181" s="130">
        <v>37530.199999999997</v>
      </c>
      <c r="G181" s="130">
        <v>1.9854500000000001E-2</v>
      </c>
      <c r="H181" s="16">
        <v>17000000</v>
      </c>
      <c r="I181">
        <v>2.9873400000000001E-2</v>
      </c>
    </row>
    <row r="182" spans="1:9" x14ac:dyDescent="0.25">
      <c r="A182" t="s">
        <v>298</v>
      </c>
      <c r="B182" t="s">
        <v>162</v>
      </c>
      <c r="C182">
        <v>2003</v>
      </c>
      <c r="D182" s="130">
        <v>15.3</v>
      </c>
      <c r="E182" s="130">
        <v>0.19999980000000001</v>
      </c>
      <c r="F182" s="130">
        <v>37857.1</v>
      </c>
      <c r="G182" s="130">
        <v>8.6736999999999995E-3</v>
      </c>
      <c r="H182" s="16">
        <v>17000000</v>
      </c>
      <c r="I182">
        <v>2.8118600000000001E-2</v>
      </c>
    </row>
    <row r="183" spans="1:9" x14ac:dyDescent="0.25">
      <c r="A183" t="s">
        <v>298</v>
      </c>
      <c r="B183" t="s">
        <v>162</v>
      </c>
      <c r="C183">
        <v>2004</v>
      </c>
      <c r="D183" s="130">
        <v>15.4</v>
      </c>
      <c r="E183" s="130">
        <v>9.9999400000000002E-2</v>
      </c>
      <c r="F183" s="130">
        <v>38649</v>
      </c>
      <c r="G183" s="130">
        <v>2.0702399999999999E-2</v>
      </c>
      <c r="H183" s="16">
        <v>18000000</v>
      </c>
      <c r="I183">
        <v>1.62594E-2</v>
      </c>
    </row>
    <row r="184" spans="1:9" x14ac:dyDescent="0.25">
      <c r="A184" t="s">
        <v>298</v>
      </c>
      <c r="B184" t="s">
        <v>162</v>
      </c>
      <c r="C184">
        <v>2005</v>
      </c>
      <c r="D184" s="130">
        <v>15.5</v>
      </c>
      <c r="E184" s="130">
        <v>0.1000004</v>
      </c>
      <c r="F184" s="130">
        <v>39425.199999999997</v>
      </c>
      <c r="G184" s="130">
        <v>1.9885099999999999E-2</v>
      </c>
      <c r="H184" s="16">
        <v>18000000</v>
      </c>
      <c r="I184">
        <v>9.0091000000000008E-3</v>
      </c>
    </row>
    <row r="185" spans="1:9" x14ac:dyDescent="0.25">
      <c r="A185" t="s">
        <v>298</v>
      </c>
      <c r="B185" t="s">
        <v>162</v>
      </c>
      <c r="C185">
        <v>2006</v>
      </c>
      <c r="D185" s="130">
        <v>15.2</v>
      </c>
      <c r="E185" s="130">
        <v>-0.30000019999999999</v>
      </c>
      <c r="F185" s="130">
        <v>40216.5</v>
      </c>
      <c r="G185" s="130">
        <v>1.9870800000000001E-2</v>
      </c>
      <c r="H185" s="16">
        <v>18000000</v>
      </c>
      <c r="I185">
        <v>1.40039E-2</v>
      </c>
    </row>
    <row r="186" spans="1:9" x14ac:dyDescent="0.25">
      <c r="A186" t="s">
        <v>298</v>
      </c>
      <c r="B186" t="s">
        <v>162</v>
      </c>
      <c r="C186">
        <v>2007</v>
      </c>
      <c r="D186" s="130">
        <v>15.5</v>
      </c>
      <c r="E186" s="130">
        <v>0.30000019999999999</v>
      </c>
      <c r="F186" s="130">
        <v>40704.5</v>
      </c>
      <c r="G186" s="130">
        <v>1.2063000000000001E-2</v>
      </c>
      <c r="H186" s="16">
        <v>18000000</v>
      </c>
      <c r="I186">
        <v>2.54021E-2</v>
      </c>
    </row>
    <row r="187" spans="1:9" x14ac:dyDescent="0.25">
      <c r="A187" t="s">
        <v>298</v>
      </c>
      <c r="B187" t="s">
        <v>162</v>
      </c>
      <c r="C187">
        <v>2008</v>
      </c>
      <c r="D187" s="130">
        <v>15.4</v>
      </c>
      <c r="E187" s="130">
        <v>-0.1000004</v>
      </c>
      <c r="F187" s="130">
        <v>40543.699999999997</v>
      </c>
      <c r="G187" s="130">
        <v>-3.9576999999999998E-3</v>
      </c>
      <c r="H187" s="16">
        <v>19000000</v>
      </c>
      <c r="I187">
        <v>2.1218500000000001E-2</v>
      </c>
    </row>
    <row r="188" spans="1:9" x14ac:dyDescent="0.25">
      <c r="A188" t="s">
        <v>298</v>
      </c>
      <c r="B188" t="s">
        <v>162</v>
      </c>
      <c r="C188">
        <v>2009</v>
      </c>
      <c r="D188" s="130">
        <v>9.5</v>
      </c>
      <c r="E188" s="130">
        <v>-5.9</v>
      </c>
      <c r="F188" s="130">
        <v>38972</v>
      </c>
      <c r="G188" s="130">
        <v>-3.95374E-2</v>
      </c>
      <c r="H188" s="16">
        <v>19000000</v>
      </c>
      <c r="I188">
        <v>8.2740999999999995E-3</v>
      </c>
    </row>
    <row r="189" spans="1:9" x14ac:dyDescent="0.25">
      <c r="A189" t="s">
        <v>298</v>
      </c>
      <c r="B189" t="s">
        <v>162</v>
      </c>
      <c r="C189">
        <v>2010</v>
      </c>
      <c r="D189" s="130">
        <v>9.1999998000000005</v>
      </c>
      <c r="E189" s="130">
        <v>-0.30000019999999999</v>
      </c>
      <c r="F189" s="130">
        <v>39779.4</v>
      </c>
      <c r="G189" s="130">
        <v>2.0504000000000001E-2</v>
      </c>
      <c r="H189" s="16">
        <v>19000000</v>
      </c>
      <c r="I189">
        <v>1.26864E-2</v>
      </c>
    </row>
    <row r="190" spans="1:9" x14ac:dyDescent="0.25">
      <c r="A190" t="s">
        <v>298</v>
      </c>
      <c r="B190" t="s">
        <v>162</v>
      </c>
      <c r="C190">
        <v>2011</v>
      </c>
      <c r="D190" s="130">
        <v>9</v>
      </c>
      <c r="E190" s="130">
        <v>-0.19999980000000001</v>
      </c>
      <c r="F190" s="130">
        <v>40384.199999999997</v>
      </c>
      <c r="G190" s="130">
        <v>1.5090900000000001E-2</v>
      </c>
      <c r="H190" s="16">
        <v>19000000</v>
      </c>
      <c r="I190">
        <v>1.01335E-2</v>
      </c>
    </row>
    <row r="191" spans="1:9" x14ac:dyDescent="0.25">
      <c r="A191" t="s">
        <v>298</v>
      </c>
      <c r="B191" t="s">
        <v>162</v>
      </c>
      <c r="C191">
        <v>2012</v>
      </c>
      <c r="F191" s="130">
        <v>40588</v>
      </c>
      <c r="G191" s="130">
        <v>5.0343999999999996E-3</v>
      </c>
      <c r="H191" s="16">
        <v>19000000</v>
      </c>
      <c r="I191">
        <v>1.39197E-2</v>
      </c>
    </row>
    <row r="192" spans="1:9" x14ac:dyDescent="0.25">
      <c r="A192" t="s">
        <v>298</v>
      </c>
      <c r="B192" t="s">
        <v>162</v>
      </c>
      <c r="C192">
        <v>2013</v>
      </c>
    </row>
    <row r="193" spans="1:9" x14ac:dyDescent="0.25">
      <c r="A193" t="s">
        <v>428</v>
      </c>
      <c r="B193" t="s">
        <v>172</v>
      </c>
      <c r="C193">
        <v>1991</v>
      </c>
      <c r="D193" s="130">
        <v>15.2</v>
      </c>
      <c r="F193" s="130">
        <v>43964.3</v>
      </c>
      <c r="H193" s="16">
        <v>3900000</v>
      </c>
    </row>
    <row r="194" spans="1:9" x14ac:dyDescent="0.25">
      <c r="A194" t="s">
        <v>428</v>
      </c>
      <c r="B194" t="s">
        <v>172</v>
      </c>
      <c r="C194">
        <v>1992</v>
      </c>
      <c r="D194" s="130">
        <v>15.2</v>
      </c>
      <c r="E194" s="130">
        <v>0</v>
      </c>
      <c r="F194" s="130">
        <v>43463.199999999997</v>
      </c>
      <c r="G194" s="130">
        <v>-1.1462200000000001E-2</v>
      </c>
      <c r="H194" s="16">
        <v>3900000</v>
      </c>
      <c r="I194">
        <v>9.5163999999999995E-3</v>
      </c>
    </row>
    <row r="195" spans="1:9" x14ac:dyDescent="0.25">
      <c r="A195" t="s">
        <v>428</v>
      </c>
      <c r="B195" t="s">
        <v>172</v>
      </c>
      <c r="C195">
        <v>1993</v>
      </c>
      <c r="D195" s="130">
        <v>16.399999999999999</v>
      </c>
      <c r="E195" s="130">
        <v>1.2</v>
      </c>
      <c r="F195" s="130">
        <v>43014.9</v>
      </c>
      <c r="G195" s="130">
        <v>-1.03683E-2</v>
      </c>
      <c r="H195" s="16">
        <v>3900000</v>
      </c>
      <c r="I195">
        <v>5.8060000000000004E-3</v>
      </c>
    </row>
    <row r="196" spans="1:9" x14ac:dyDescent="0.25">
      <c r="A196" t="s">
        <v>428</v>
      </c>
      <c r="B196" t="s">
        <v>172</v>
      </c>
      <c r="C196">
        <v>1994</v>
      </c>
      <c r="D196" s="130">
        <v>15.9</v>
      </c>
      <c r="E196" s="130">
        <v>-0.5</v>
      </c>
      <c r="F196" s="130">
        <v>43215.199999999997</v>
      </c>
      <c r="G196" s="130">
        <v>4.6462999999999999E-3</v>
      </c>
      <c r="H196" s="16">
        <v>3900000</v>
      </c>
      <c r="I196">
        <v>-5.6305000000000001E-3</v>
      </c>
    </row>
    <row r="197" spans="1:9" x14ac:dyDescent="0.25">
      <c r="A197" t="s">
        <v>428</v>
      </c>
      <c r="B197" t="s">
        <v>172</v>
      </c>
      <c r="C197">
        <v>1995</v>
      </c>
      <c r="D197" s="130">
        <v>16.299999</v>
      </c>
      <c r="E197" s="130">
        <v>0.39999960000000001</v>
      </c>
      <c r="F197" s="130">
        <v>43133.8</v>
      </c>
      <c r="G197" s="130">
        <v>-1.8854E-3</v>
      </c>
      <c r="H197" s="16">
        <v>3900000</v>
      </c>
      <c r="I197">
        <v>2.4830999999999998E-3</v>
      </c>
    </row>
    <row r="198" spans="1:9" x14ac:dyDescent="0.25">
      <c r="A198" t="s">
        <v>428</v>
      </c>
      <c r="B198" t="s">
        <v>172</v>
      </c>
      <c r="C198">
        <v>1996</v>
      </c>
      <c r="D198" s="130">
        <v>17.799999</v>
      </c>
      <c r="E198" s="130">
        <v>1.5</v>
      </c>
      <c r="F198" s="130">
        <v>43151.9</v>
      </c>
      <c r="G198" s="130">
        <v>4.1869999999999999E-4</v>
      </c>
      <c r="H198" s="16">
        <v>3900000</v>
      </c>
      <c r="I198">
        <v>6.8355999999999998E-3</v>
      </c>
    </row>
    <row r="199" spans="1:9" x14ac:dyDescent="0.25">
      <c r="A199" t="s">
        <v>428</v>
      </c>
      <c r="B199" t="s">
        <v>172</v>
      </c>
      <c r="C199">
        <v>1997</v>
      </c>
      <c r="D199" s="130">
        <v>18.399999999999999</v>
      </c>
      <c r="E199" s="130">
        <v>0.60000039999999999</v>
      </c>
      <c r="F199" s="130">
        <v>43927.199999999997</v>
      </c>
      <c r="G199" s="130">
        <v>1.7808000000000001E-2</v>
      </c>
      <c r="H199" s="16">
        <v>3900000</v>
      </c>
      <c r="I199">
        <v>-2.1538E-3</v>
      </c>
    </row>
    <row r="200" spans="1:9" x14ac:dyDescent="0.25">
      <c r="A200" t="s">
        <v>428</v>
      </c>
      <c r="B200" t="s">
        <v>172</v>
      </c>
      <c r="C200">
        <v>1998</v>
      </c>
      <c r="D200" s="130">
        <v>17.799999</v>
      </c>
      <c r="E200" s="130">
        <v>-0.60000039999999999</v>
      </c>
      <c r="F200" s="130">
        <v>44994.400000000001</v>
      </c>
      <c r="G200" s="130">
        <v>2.4003E-2</v>
      </c>
      <c r="H200" s="16">
        <v>4000000</v>
      </c>
      <c r="I200">
        <v>1.1125100000000001E-2</v>
      </c>
    </row>
    <row r="201" spans="1:9" x14ac:dyDescent="0.25">
      <c r="A201" t="s">
        <v>428</v>
      </c>
      <c r="B201" t="s">
        <v>172</v>
      </c>
      <c r="C201">
        <v>1999</v>
      </c>
      <c r="D201" s="130">
        <v>18</v>
      </c>
      <c r="E201" s="130">
        <v>0.20000080000000001</v>
      </c>
      <c r="F201" s="130">
        <v>45405.5</v>
      </c>
      <c r="G201" s="130">
        <v>9.0951999999999995E-3</v>
      </c>
      <c r="H201" s="16">
        <v>4000000</v>
      </c>
      <c r="I201">
        <v>6.0052999999999999E-3</v>
      </c>
    </row>
    <row r="202" spans="1:9" x14ac:dyDescent="0.25">
      <c r="A202" t="s">
        <v>428</v>
      </c>
      <c r="B202" t="s">
        <v>172</v>
      </c>
      <c r="C202">
        <v>2000</v>
      </c>
      <c r="D202" s="130">
        <v>18</v>
      </c>
      <c r="E202" s="130">
        <v>0</v>
      </c>
      <c r="F202" s="130">
        <v>46808.6</v>
      </c>
      <c r="G202" s="130">
        <v>3.0434599999999999E-2</v>
      </c>
      <c r="H202" s="16">
        <v>4000000</v>
      </c>
      <c r="I202">
        <v>1.3051E-3</v>
      </c>
    </row>
    <row r="203" spans="1:9" x14ac:dyDescent="0.25">
      <c r="A203" t="s">
        <v>428</v>
      </c>
      <c r="B203" t="s">
        <v>172</v>
      </c>
      <c r="C203">
        <v>2001</v>
      </c>
      <c r="D203" s="130">
        <v>17.200001</v>
      </c>
      <c r="E203" s="130">
        <v>-0.79999920000000002</v>
      </c>
      <c r="F203" s="130">
        <v>47091.6</v>
      </c>
      <c r="G203" s="130">
        <v>6.0271999999999999E-3</v>
      </c>
      <c r="H203" s="16">
        <v>4100000</v>
      </c>
      <c r="I203">
        <v>1.49207E-2</v>
      </c>
    </row>
    <row r="204" spans="1:9" x14ac:dyDescent="0.25">
      <c r="A204" t="s">
        <v>428</v>
      </c>
      <c r="B204" t="s">
        <v>172</v>
      </c>
      <c r="C204">
        <v>2002</v>
      </c>
      <c r="D204" s="130">
        <v>16.899999999999999</v>
      </c>
      <c r="E204" s="130">
        <v>-0.30000110000000002</v>
      </c>
      <c r="F204" s="130">
        <v>46823.3</v>
      </c>
      <c r="G204" s="130">
        <v>-5.7124999999999997E-3</v>
      </c>
      <c r="H204" s="16">
        <v>4100000</v>
      </c>
      <c r="I204">
        <v>9.1097000000000001E-3</v>
      </c>
    </row>
    <row r="205" spans="1:9" x14ac:dyDescent="0.25">
      <c r="A205" t="s">
        <v>428</v>
      </c>
      <c r="B205" t="s">
        <v>172</v>
      </c>
      <c r="C205">
        <v>2003</v>
      </c>
      <c r="D205" s="130">
        <v>17.5</v>
      </c>
      <c r="E205" s="130">
        <v>0.60000039999999999</v>
      </c>
      <c r="F205" s="130">
        <v>46487</v>
      </c>
      <c r="G205" s="130">
        <v>-7.2087999999999996E-3</v>
      </c>
      <c r="H205" s="16">
        <v>4100000</v>
      </c>
      <c r="I205">
        <v>1.25904E-2</v>
      </c>
    </row>
    <row r="206" spans="1:9" x14ac:dyDescent="0.25">
      <c r="A206" t="s">
        <v>428</v>
      </c>
      <c r="B206" t="s">
        <v>172</v>
      </c>
      <c r="C206">
        <v>2004</v>
      </c>
      <c r="D206" s="130">
        <v>16.200001</v>
      </c>
      <c r="E206" s="130">
        <v>-1.2999989999999999</v>
      </c>
      <c r="F206" s="130">
        <v>47286.400000000001</v>
      </c>
      <c r="G206" s="130">
        <v>1.7048799999999999E-2</v>
      </c>
      <c r="H206" s="16">
        <v>4200000</v>
      </c>
      <c r="I206">
        <v>2.8067000000000001E-3</v>
      </c>
    </row>
    <row r="207" spans="1:9" x14ac:dyDescent="0.25">
      <c r="A207" t="s">
        <v>428</v>
      </c>
      <c r="B207" t="s">
        <v>172</v>
      </c>
      <c r="C207">
        <v>2005</v>
      </c>
      <c r="D207" s="130">
        <v>16</v>
      </c>
      <c r="E207" s="130">
        <v>-0.20000080000000001</v>
      </c>
      <c r="F207" s="130">
        <v>48250.6</v>
      </c>
      <c r="G207" s="130">
        <v>2.0187400000000001E-2</v>
      </c>
      <c r="H207" s="16">
        <v>4200000</v>
      </c>
      <c r="I207">
        <v>5.5703999999999997E-3</v>
      </c>
    </row>
    <row r="208" spans="1:9" x14ac:dyDescent="0.25">
      <c r="A208" t="s">
        <v>428</v>
      </c>
      <c r="B208" t="s">
        <v>172</v>
      </c>
      <c r="C208">
        <v>2006</v>
      </c>
      <c r="D208" s="130">
        <v>15.9</v>
      </c>
      <c r="E208" s="130">
        <v>-0.1000004</v>
      </c>
      <c r="F208" s="130">
        <v>49747.6</v>
      </c>
      <c r="G208" s="130">
        <v>3.0552900000000001E-2</v>
      </c>
      <c r="H208" s="16">
        <v>4200000</v>
      </c>
      <c r="I208">
        <v>1.68717E-2</v>
      </c>
    </row>
    <row r="209" spans="1:9" x14ac:dyDescent="0.25">
      <c r="A209" t="s">
        <v>428</v>
      </c>
      <c r="B209" t="s">
        <v>172</v>
      </c>
      <c r="C209">
        <v>2007</v>
      </c>
      <c r="D209" s="130">
        <v>16.100000000000001</v>
      </c>
      <c r="E209" s="130">
        <v>0.20000080000000001</v>
      </c>
      <c r="F209" s="130">
        <v>51201.1</v>
      </c>
      <c r="G209" s="130">
        <v>2.8799100000000001E-2</v>
      </c>
      <c r="H209" s="16">
        <v>4300000</v>
      </c>
      <c r="I209">
        <v>1.8384899999999999E-2</v>
      </c>
    </row>
    <row r="210" spans="1:9" x14ac:dyDescent="0.25">
      <c r="A210" t="s">
        <v>428</v>
      </c>
      <c r="B210" t="s">
        <v>172</v>
      </c>
      <c r="C210">
        <v>2008</v>
      </c>
      <c r="D210" s="130">
        <v>15.9</v>
      </c>
      <c r="E210" s="130">
        <v>-0.20000080000000001</v>
      </c>
      <c r="F210" s="130">
        <v>51648.800000000003</v>
      </c>
      <c r="G210" s="130">
        <v>8.7060999999999996E-3</v>
      </c>
      <c r="H210" s="16">
        <v>4400000</v>
      </c>
      <c r="I210">
        <v>2.6096500000000002E-2</v>
      </c>
    </row>
    <row r="211" spans="1:9" x14ac:dyDescent="0.25">
      <c r="A211" t="s">
        <v>428</v>
      </c>
      <c r="B211" t="s">
        <v>172</v>
      </c>
      <c r="C211">
        <v>2009</v>
      </c>
      <c r="D211" s="130">
        <v>15.3</v>
      </c>
      <c r="E211" s="130">
        <v>-0.59999939999999996</v>
      </c>
      <c r="F211" s="130">
        <v>50019.5</v>
      </c>
      <c r="G211" s="130">
        <v>-3.2053900000000003E-2</v>
      </c>
      <c r="H211" s="16">
        <v>4500000</v>
      </c>
      <c r="I211">
        <v>1.9199000000000001E-2</v>
      </c>
    </row>
    <row r="212" spans="1:9" x14ac:dyDescent="0.25">
      <c r="A212" t="s">
        <v>428</v>
      </c>
      <c r="B212" t="s">
        <v>172</v>
      </c>
      <c r="C212">
        <v>2010</v>
      </c>
      <c r="D212" s="130">
        <v>15.3</v>
      </c>
      <c r="E212" s="130">
        <v>0</v>
      </c>
      <c r="F212" s="130">
        <v>50963.1</v>
      </c>
      <c r="G212" s="130">
        <v>1.86892E-2</v>
      </c>
      <c r="H212" s="16">
        <v>4500000</v>
      </c>
      <c r="I212">
        <v>7.9284999999999998E-3</v>
      </c>
    </row>
    <row r="213" spans="1:9" x14ac:dyDescent="0.25">
      <c r="A213" t="s">
        <v>428</v>
      </c>
      <c r="B213" t="s">
        <v>172</v>
      </c>
      <c r="C213">
        <v>2011</v>
      </c>
      <c r="D213" s="130">
        <v>15.4</v>
      </c>
      <c r="E213" s="130">
        <v>9.9999400000000002E-2</v>
      </c>
      <c r="F213" s="130">
        <v>51301.9</v>
      </c>
      <c r="G213" s="130">
        <v>6.6261000000000002E-3</v>
      </c>
      <c r="H213" s="16">
        <v>4600000</v>
      </c>
      <c r="I213">
        <v>1.8658600000000001E-2</v>
      </c>
    </row>
    <row r="214" spans="1:9" x14ac:dyDescent="0.25">
      <c r="A214" t="s">
        <v>428</v>
      </c>
      <c r="B214" t="s">
        <v>172</v>
      </c>
      <c r="C214">
        <v>2012</v>
      </c>
      <c r="D214" s="130">
        <v>15.3</v>
      </c>
      <c r="E214" s="130">
        <v>-9.9999400000000002E-2</v>
      </c>
      <c r="F214" s="130">
        <v>51292.6</v>
      </c>
      <c r="G214" s="130">
        <v>-1.8220000000000001E-4</v>
      </c>
      <c r="H214" s="16">
        <v>4600000</v>
      </c>
      <c r="I214">
        <v>1.42477E-2</v>
      </c>
    </row>
    <row r="215" spans="1:9" x14ac:dyDescent="0.25">
      <c r="A215" t="s">
        <v>428</v>
      </c>
      <c r="B215" t="s">
        <v>172</v>
      </c>
      <c r="C215">
        <v>2013</v>
      </c>
    </row>
    <row r="216" spans="1:9" x14ac:dyDescent="0.25">
      <c r="A216" t="s">
        <v>303</v>
      </c>
      <c r="B216" t="s">
        <v>137</v>
      </c>
      <c r="C216">
        <v>1990</v>
      </c>
      <c r="D216" s="130">
        <v>25.200001</v>
      </c>
      <c r="F216" s="130">
        <v>9204.64</v>
      </c>
      <c r="H216" s="16">
        <v>5000000</v>
      </c>
    </row>
    <row r="217" spans="1:9" x14ac:dyDescent="0.25">
      <c r="A217" t="s">
        <v>303</v>
      </c>
      <c r="B217" t="s">
        <v>137</v>
      </c>
      <c r="C217">
        <v>1991</v>
      </c>
      <c r="D217" s="130">
        <v>27.5</v>
      </c>
      <c r="E217" s="130">
        <v>2.2999990000000001</v>
      </c>
      <c r="F217" s="130">
        <v>9759.1200000000008</v>
      </c>
      <c r="G217" s="130">
        <v>5.84936E-2</v>
      </c>
      <c r="H217" s="16">
        <v>5100000</v>
      </c>
      <c r="I217">
        <v>1.7129800000000001E-2</v>
      </c>
    </row>
    <row r="218" spans="1:9" x14ac:dyDescent="0.25">
      <c r="A218" t="s">
        <v>303</v>
      </c>
      <c r="B218" t="s">
        <v>137</v>
      </c>
      <c r="C218">
        <v>1992</v>
      </c>
      <c r="D218" s="130">
        <v>25</v>
      </c>
      <c r="E218" s="130">
        <v>-2.5</v>
      </c>
      <c r="F218" s="130">
        <v>10757.5</v>
      </c>
      <c r="G218" s="130">
        <v>9.7398799999999994E-2</v>
      </c>
      <c r="H218" s="16">
        <v>5300000</v>
      </c>
      <c r="I218">
        <v>4.2069200000000001E-2</v>
      </c>
    </row>
    <row r="219" spans="1:9" x14ac:dyDescent="0.25">
      <c r="A219" t="s">
        <v>303</v>
      </c>
      <c r="B219" t="s">
        <v>137</v>
      </c>
      <c r="C219">
        <v>1993</v>
      </c>
      <c r="D219" s="130">
        <v>27.1</v>
      </c>
      <c r="E219" s="130">
        <v>2.1</v>
      </c>
      <c r="F219" s="130">
        <v>11301.3</v>
      </c>
      <c r="G219" s="130">
        <v>4.9320200000000002E-2</v>
      </c>
      <c r="H219" s="16">
        <v>5500000</v>
      </c>
      <c r="I219">
        <v>4.7032999999999998E-2</v>
      </c>
    </row>
    <row r="220" spans="1:9" x14ac:dyDescent="0.25">
      <c r="A220" t="s">
        <v>303</v>
      </c>
      <c r="B220" t="s">
        <v>137</v>
      </c>
      <c r="C220">
        <v>1994</v>
      </c>
      <c r="D220" s="130">
        <v>24.799999</v>
      </c>
      <c r="E220" s="130">
        <v>-2.300001</v>
      </c>
      <c r="F220" s="130">
        <v>11739.2</v>
      </c>
      <c r="G220" s="130">
        <v>3.8016300000000003E-2</v>
      </c>
      <c r="H220" s="16">
        <v>5600000</v>
      </c>
      <c r="I220">
        <v>1.85671E-2</v>
      </c>
    </row>
    <row r="221" spans="1:9" x14ac:dyDescent="0.25">
      <c r="A221" t="s">
        <v>303</v>
      </c>
      <c r="B221" t="s">
        <v>137</v>
      </c>
      <c r="C221">
        <v>1995</v>
      </c>
      <c r="D221" s="130">
        <v>27.6</v>
      </c>
      <c r="E221" s="130">
        <v>2.800001</v>
      </c>
      <c r="F221" s="130">
        <v>12775.1</v>
      </c>
      <c r="G221" s="130">
        <v>8.4565199999999993E-2</v>
      </c>
      <c r="H221" s="16">
        <v>5600000</v>
      </c>
      <c r="I221">
        <v>7.6480000000000005E-4</v>
      </c>
    </row>
    <row r="222" spans="1:9" x14ac:dyDescent="0.25">
      <c r="A222" t="s">
        <v>303</v>
      </c>
      <c r="B222" t="s">
        <v>137</v>
      </c>
      <c r="C222">
        <v>1996</v>
      </c>
      <c r="D222" s="130">
        <v>29.9</v>
      </c>
      <c r="E222" s="130">
        <v>2.2999990000000001</v>
      </c>
      <c r="F222" s="130">
        <v>13514.3</v>
      </c>
      <c r="G222" s="130">
        <v>5.6242899999999998E-2</v>
      </c>
      <c r="H222" s="16">
        <v>5700000</v>
      </c>
      <c r="I222">
        <v>1.08786E-2</v>
      </c>
    </row>
    <row r="223" spans="1:9" x14ac:dyDescent="0.25">
      <c r="A223" t="s">
        <v>303</v>
      </c>
      <c r="B223" t="s">
        <v>137</v>
      </c>
      <c r="C223">
        <v>1997</v>
      </c>
      <c r="D223" s="130">
        <v>29.6</v>
      </c>
      <c r="E223" s="130">
        <v>-0.29999920000000002</v>
      </c>
      <c r="F223" s="130">
        <v>14203.4</v>
      </c>
      <c r="G223" s="130">
        <v>4.9736000000000002E-2</v>
      </c>
      <c r="H223" s="16">
        <v>5800000</v>
      </c>
      <c r="I223">
        <v>2.78493E-2</v>
      </c>
    </row>
    <row r="224" spans="1:9" x14ac:dyDescent="0.25">
      <c r="A224" t="s">
        <v>303</v>
      </c>
      <c r="B224" t="s">
        <v>137</v>
      </c>
      <c r="C224">
        <v>1998</v>
      </c>
      <c r="D224" s="130">
        <v>30.799999</v>
      </c>
      <c r="E224" s="130">
        <v>1.199999</v>
      </c>
      <c r="F224" s="130">
        <v>14467.8</v>
      </c>
      <c r="G224" s="130">
        <v>1.84431E-2</v>
      </c>
      <c r="H224" s="16">
        <v>6000000</v>
      </c>
      <c r="I224">
        <v>2.4347899999999999E-2</v>
      </c>
    </row>
    <row r="225" spans="1:9" x14ac:dyDescent="0.25">
      <c r="A225" t="s">
        <v>303</v>
      </c>
      <c r="B225" t="s">
        <v>137</v>
      </c>
      <c r="C225">
        <v>1999</v>
      </c>
      <c r="D225" s="130">
        <v>30.799999</v>
      </c>
      <c r="E225" s="130">
        <v>0</v>
      </c>
      <c r="F225" s="130">
        <v>14176.1</v>
      </c>
      <c r="G225" s="130">
        <v>-2.0369499999999999E-2</v>
      </c>
      <c r="H225" s="16">
        <v>6100000</v>
      </c>
      <c r="I225">
        <v>2.0636000000000002E-2</v>
      </c>
    </row>
    <row r="226" spans="1:9" x14ac:dyDescent="0.25">
      <c r="A226" t="s">
        <v>303</v>
      </c>
      <c r="B226" t="s">
        <v>137</v>
      </c>
      <c r="C226">
        <v>2000</v>
      </c>
      <c r="D226" s="130">
        <v>30.6</v>
      </c>
      <c r="E226" s="130">
        <v>-0.19999890000000001</v>
      </c>
      <c r="F226" s="130">
        <v>14632.4</v>
      </c>
      <c r="G226" s="130">
        <v>3.1680100000000003E-2</v>
      </c>
      <c r="H226" s="16">
        <v>6100000</v>
      </c>
      <c r="I226">
        <v>9.9828E-3</v>
      </c>
    </row>
    <row r="227" spans="1:9" x14ac:dyDescent="0.25">
      <c r="A227" t="s">
        <v>303</v>
      </c>
      <c r="B227" t="s">
        <v>137</v>
      </c>
      <c r="C227">
        <v>2001</v>
      </c>
      <c r="D227" s="130">
        <v>31.4</v>
      </c>
      <c r="E227" s="130">
        <v>0.79999920000000002</v>
      </c>
      <c r="F227" s="130">
        <v>14943.5</v>
      </c>
      <c r="G227" s="130">
        <v>2.1041899999999999E-2</v>
      </c>
      <c r="H227" s="16">
        <v>6100000</v>
      </c>
      <c r="I227">
        <v>7.7454999999999998E-3</v>
      </c>
    </row>
    <row r="228" spans="1:9" x14ac:dyDescent="0.25">
      <c r="A228" t="s">
        <v>303</v>
      </c>
      <c r="B228" t="s">
        <v>137</v>
      </c>
      <c r="C228">
        <v>2002</v>
      </c>
      <c r="D228" s="130">
        <v>31.5</v>
      </c>
      <c r="E228" s="130">
        <v>0.1000004</v>
      </c>
      <c r="F228" s="130">
        <v>15093.4</v>
      </c>
      <c r="G228" s="130">
        <v>9.9783000000000007E-3</v>
      </c>
      <c r="H228" s="16">
        <v>6200000</v>
      </c>
      <c r="I228">
        <v>1.4546E-2</v>
      </c>
    </row>
    <row r="229" spans="1:9" x14ac:dyDescent="0.25">
      <c r="A229" t="s">
        <v>303</v>
      </c>
      <c r="B229" t="s">
        <v>137</v>
      </c>
      <c r="C229">
        <v>2003</v>
      </c>
      <c r="D229" s="130">
        <v>31.799999</v>
      </c>
      <c r="E229" s="130">
        <v>0.29999920000000002</v>
      </c>
      <c r="F229" s="130">
        <v>15517.8</v>
      </c>
      <c r="G229" s="130">
        <v>2.7732799999999998E-2</v>
      </c>
      <c r="H229" s="16">
        <v>6400000</v>
      </c>
      <c r="I229">
        <v>3.5762799999999997E-2</v>
      </c>
    </row>
    <row r="230" spans="1:9" x14ac:dyDescent="0.25">
      <c r="A230" t="s">
        <v>303</v>
      </c>
      <c r="B230" t="s">
        <v>137</v>
      </c>
      <c r="C230">
        <v>2004</v>
      </c>
      <c r="D230" s="130">
        <v>31.799999</v>
      </c>
      <c r="E230" s="130">
        <v>0</v>
      </c>
      <c r="F230" s="130">
        <v>16279.6</v>
      </c>
      <c r="G230" s="130">
        <v>4.7925000000000002E-2</v>
      </c>
      <c r="H230" s="16">
        <v>6600000</v>
      </c>
      <c r="I230">
        <v>3.8760900000000001E-2</v>
      </c>
    </row>
    <row r="231" spans="1:9" x14ac:dyDescent="0.25">
      <c r="A231" t="s">
        <v>303</v>
      </c>
      <c r="B231" t="s">
        <v>137</v>
      </c>
      <c r="C231">
        <v>2005</v>
      </c>
      <c r="D231" s="130">
        <v>29.799999</v>
      </c>
      <c r="E231" s="130">
        <v>-2</v>
      </c>
      <c r="F231" s="130">
        <v>17006.400000000001</v>
      </c>
      <c r="G231" s="130">
        <v>4.3674499999999998E-2</v>
      </c>
      <c r="H231" s="16">
        <v>6800000</v>
      </c>
      <c r="I231">
        <v>3.9276100000000001E-2</v>
      </c>
    </row>
    <row r="232" spans="1:9" x14ac:dyDescent="0.25">
      <c r="A232" t="s">
        <v>303</v>
      </c>
      <c r="B232" t="s">
        <v>137</v>
      </c>
      <c r="C232">
        <v>2006</v>
      </c>
      <c r="D232" s="130">
        <v>28.9</v>
      </c>
      <c r="E232" s="130">
        <v>-0.89999960000000001</v>
      </c>
      <c r="F232" s="130">
        <v>17576.099999999999</v>
      </c>
      <c r="G232" s="130">
        <v>3.2950399999999998E-2</v>
      </c>
      <c r="H232" s="16">
        <v>7000000</v>
      </c>
      <c r="I232">
        <v>3.97437E-2</v>
      </c>
    </row>
    <row r="233" spans="1:9" x14ac:dyDescent="0.25">
      <c r="A233" t="s">
        <v>303</v>
      </c>
      <c r="B233" t="s">
        <v>137</v>
      </c>
      <c r="C233">
        <v>2007</v>
      </c>
      <c r="D233" s="130">
        <v>27.9</v>
      </c>
      <c r="E233" s="130">
        <v>-1</v>
      </c>
      <c r="F233" s="130">
        <v>18300.900000000001</v>
      </c>
      <c r="G233" s="130">
        <v>4.0411000000000002E-2</v>
      </c>
      <c r="H233" s="16">
        <v>7200000</v>
      </c>
      <c r="I233">
        <v>4.0117899999999998E-2</v>
      </c>
    </row>
    <row r="234" spans="1:9" x14ac:dyDescent="0.25">
      <c r="A234" t="s">
        <v>303</v>
      </c>
      <c r="B234" t="s">
        <v>137</v>
      </c>
      <c r="C234">
        <v>2008</v>
      </c>
      <c r="D234" s="130">
        <v>27.200001</v>
      </c>
      <c r="E234" s="130">
        <v>-0.69999889999999998</v>
      </c>
      <c r="F234" s="130">
        <v>18721.2</v>
      </c>
      <c r="G234" s="130">
        <v>2.2705099999999999E-2</v>
      </c>
      <c r="H234" s="16">
        <v>7500000</v>
      </c>
      <c r="I234">
        <v>5.8300900000000003E-2</v>
      </c>
    </row>
    <row r="235" spans="1:9" x14ac:dyDescent="0.25">
      <c r="A235" t="s">
        <v>303</v>
      </c>
      <c r="B235" t="s">
        <v>137</v>
      </c>
      <c r="C235">
        <v>2009</v>
      </c>
      <c r="D235" s="130">
        <v>27.700001</v>
      </c>
      <c r="E235" s="130">
        <v>0.5</v>
      </c>
      <c r="F235" s="130">
        <v>18352.099999999999</v>
      </c>
      <c r="G235" s="130">
        <v>-1.99118E-2</v>
      </c>
      <c r="H235" s="16">
        <v>7600000</v>
      </c>
      <c r="I235">
        <v>2.1871399999999999E-2</v>
      </c>
    </row>
    <row r="236" spans="1:9" x14ac:dyDescent="0.25">
      <c r="A236" t="s">
        <v>303</v>
      </c>
      <c r="B236" t="s">
        <v>137</v>
      </c>
      <c r="C236">
        <v>2010</v>
      </c>
      <c r="D236" s="130">
        <v>26.5</v>
      </c>
      <c r="E236" s="130">
        <v>-1.2000010000000001</v>
      </c>
      <c r="F236" s="130">
        <v>19229.7</v>
      </c>
      <c r="G236" s="130">
        <v>4.6714800000000001E-2</v>
      </c>
      <c r="H236" s="16">
        <v>8100000</v>
      </c>
      <c r="I236">
        <v>9.2775300000000005E-2</v>
      </c>
    </row>
    <row r="237" spans="1:9" x14ac:dyDescent="0.25">
      <c r="A237" t="s">
        <v>303</v>
      </c>
      <c r="B237" t="s">
        <v>137</v>
      </c>
      <c r="C237">
        <v>2011</v>
      </c>
      <c r="D237" s="130">
        <v>26.6</v>
      </c>
      <c r="E237" s="130">
        <v>0.1000004</v>
      </c>
      <c r="F237" s="130">
        <v>20169.3</v>
      </c>
      <c r="G237" s="130">
        <v>4.7706600000000002E-2</v>
      </c>
      <c r="H237" s="16">
        <v>8300000</v>
      </c>
      <c r="I237">
        <v>5.8469500000000001E-2</v>
      </c>
    </row>
    <row r="238" spans="1:9" x14ac:dyDescent="0.25">
      <c r="A238" t="s">
        <v>303</v>
      </c>
      <c r="B238" t="s">
        <v>137</v>
      </c>
      <c r="C238">
        <v>2012</v>
      </c>
      <c r="F238" s="130">
        <v>21099.200000000001</v>
      </c>
      <c r="G238" s="130">
        <v>4.5072599999999997E-2</v>
      </c>
      <c r="H238" s="16">
        <v>8500000</v>
      </c>
      <c r="I238">
        <v>2.2618800000000001E-2</v>
      </c>
    </row>
    <row r="239" spans="1:9" x14ac:dyDescent="0.25">
      <c r="A239" t="s">
        <v>303</v>
      </c>
      <c r="B239" t="s">
        <v>137</v>
      </c>
      <c r="C239">
        <v>2013</v>
      </c>
    </row>
    <row r="240" spans="1:9" x14ac:dyDescent="0.25">
      <c r="A240" t="s">
        <v>305</v>
      </c>
      <c r="B240" t="s">
        <v>115</v>
      </c>
      <c r="C240">
        <v>1992</v>
      </c>
      <c r="D240" s="130">
        <v>32.299999</v>
      </c>
      <c r="F240" s="130">
        <v>8032.18</v>
      </c>
      <c r="H240" s="16">
        <v>12000000</v>
      </c>
    </row>
    <row r="241" spans="1:9" x14ac:dyDescent="0.25">
      <c r="A241" t="s">
        <v>305</v>
      </c>
      <c r="B241" t="s">
        <v>115</v>
      </c>
      <c r="C241">
        <v>1993</v>
      </c>
      <c r="D241" s="130">
        <v>31.6</v>
      </c>
      <c r="E241" s="130">
        <v>-0.69999889999999998</v>
      </c>
      <c r="F241" s="130">
        <v>8070.09</v>
      </c>
      <c r="G241" s="130">
        <v>4.7083000000000003E-3</v>
      </c>
      <c r="H241" s="16">
        <v>12000000</v>
      </c>
      <c r="I241">
        <v>2.6318000000000001E-2</v>
      </c>
    </row>
    <row r="242" spans="1:9" x14ac:dyDescent="0.25">
      <c r="A242" t="s">
        <v>305</v>
      </c>
      <c r="B242" t="s">
        <v>115</v>
      </c>
      <c r="C242">
        <v>1994</v>
      </c>
      <c r="D242" s="130">
        <v>30.4</v>
      </c>
      <c r="E242" s="130">
        <v>-1.2000010000000001</v>
      </c>
      <c r="F242" s="130">
        <v>8385.2800000000007</v>
      </c>
      <c r="G242" s="130">
        <v>3.8313899999999998E-2</v>
      </c>
      <c r="H242" s="16">
        <v>13000000</v>
      </c>
      <c r="I242">
        <v>5.2104699999999997E-2</v>
      </c>
    </row>
    <row r="243" spans="1:9" x14ac:dyDescent="0.25">
      <c r="A243" t="s">
        <v>305</v>
      </c>
      <c r="B243" t="s">
        <v>115</v>
      </c>
      <c r="C243">
        <v>1995</v>
      </c>
      <c r="D243" s="130">
        <v>33.799999</v>
      </c>
      <c r="E243" s="130">
        <v>3.4</v>
      </c>
      <c r="F243" s="130">
        <v>8662.7000000000007</v>
      </c>
      <c r="G243" s="130">
        <v>3.2548899999999999E-2</v>
      </c>
      <c r="H243" s="16">
        <v>14000000</v>
      </c>
      <c r="I243">
        <v>5.5877700000000002E-2</v>
      </c>
    </row>
    <row r="244" spans="1:9" x14ac:dyDescent="0.25">
      <c r="A244" t="s">
        <v>305</v>
      </c>
      <c r="B244" t="s">
        <v>115</v>
      </c>
      <c r="C244">
        <v>1996</v>
      </c>
      <c r="D244" s="130">
        <v>33.5</v>
      </c>
      <c r="E244" s="130">
        <v>-0.29999920000000002</v>
      </c>
      <c r="F244" s="130">
        <v>8683.56</v>
      </c>
      <c r="G244" s="130">
        <v>2.4052000000000001E-3</v>
      </c>
      <c r="H244" s="16">
        <v>14000000</v>
      </c>
      <c r="I244">
        <v>5.7831399999999998E-2</v>
      </c>
    </row>
    <row r="245" spans="1:9" x14ac:dyDescent="0.25">
      <c r="A245" t="s">
        <v>305</v>
      </c>
      <c r="B245" t="s">
        <v>115</v>
      </c>
      <c r="C245">
        <v>1997</v>
      </c>
      <c r="D245" s="130">
        <v>35.099997999999999</v>
      </c>
      <c r="E245" s="130">
        <v>1.599998</v>
      </c>
      <c r="F245" s="130">
        <v>8823.7999999999993</v>
      </c>
      <c r="G245" s="130">
        <v>1.6020800000000002E-2</v>
      </c>
      <c r="H245" s="16">
        <v>15000000</v>
      </c>
      <c r="I245">
        <v>5.9828899999999997E-2</v>
      </c>
    </row>
    <row r="246" spans="1:9" x14ac:dyDescent="0.25">
      <c r="A246" t="s">
        <v>305</v>
      </c>
      <c r="B246" t="s">
        <v>115</v>
      </c>
      <c r="C246">
        <v>1998</v>
      </c>
      <c r="D246" s="130">
        <v>35.900002000000001</v>
      </c>
      <c r="E246" s="130">
        <v>0.80000309999999997</v>
      </c>
      <c r="F246" s="130">
        <v>8720.67</v>
      </c>
      <c r="G246" s="130">
        <v>-1.17559E-2</v>
      </c>
      <c r="H246" s="16">
        <v>16000000</v>
      </c>
      <c r="I246">
        <v>6.1776200000000003E-2</v>
      </c>
    </row>
    <row r="247" spans="1:9" x14ac:dyDescent="0.25">
      <c r="A247" t="s">
        <v>305</v>
      </c>
      <c r="B247" t="s">
        <v>115</v>
      </c>
      <c r="C247">
        <v>1999</v>
      </c>
      <c r="D247" s="130">
        <v>38.599997999999999</v>
      </c>
      <c r="E247" s="130">
        <v>2.6999970000000002</v>
      </c>
      <c r="F247" s="130">
        <v>8212.23</v>
      </c>
      <c r="G247" s="130">
        <v>-6.0071899999999998E-2</v>
      </c>
      <c r="H247" s="16">
        <v>17000000</v>
      </c>
      <c r="I247">
        <v>6.5807900000000003E-2</v>
      </c>
    </row>
    <row r="248" spans="1:9" x14ac:dyDescent="0.25">
      <c r="A248" t="s">
        <v>305</v>
      </c>
      <c r="B248" t="s">
        <v>115</v>
      </c>
      <c r="C248">
        <v>2000</v>
      </c>
      <c r="D248" s="130">
        <v>47.799999</v>
      </c>
      <c r="E248" s="130">
        <v>9.2000010000000003</v>
      </c>
      <c r="F248" s="130">
        <v>8432.5300000000007</v>
      </c>
      <c r="G248" s="130">
        <v>2.6472099999999998E-2</v>
      </c>
      <c r="H248" s="16">
        <v>17000000</v>
      </c>
      <c r="I248">
        <v>6.5444600000000006E-2</v>
      </c>
    </row>
    <row r="249" spans="1:9" x14ac:dyDescent="0.25">
      <c r="A249" t="s">
        <v>305</v>
      </c>
      <c r="B249" t="s">
        <v>115</v>
      </c>
      <c r="C249">
        <v>2001</v>
      </c>
      <c r="D249" s="130">
        <v>52</v>
      </c>
      <c r="E249" s="130">
        <v>4.2000010000000003</v>
      </c>
      <c r="F249" s="130">
        <v>8434.35</v>
      </c>
      <c r="G249" s="130">
        <v>2.165E-4</v>
      </c>
      <c r="H249" s="16">
        <v>18000000</v>
      </c>
      <c r="I249">
        <v>6.4880099999999996E-2</v>
      </c>
    </row>
    <row r="250" spans="1:9" x14ac:dyDescent="0.25">
      <c r="A250" t="s">
        <v>305</v>
      </c>
      <c r="B250" t="s">
        <v>115</v>
      </c>
      <c r="C250">
        <v>2002</v>
      </c>
      <c r="D250" s="130">
        <v>51.599997999999999</v>
      </c>
      <c r="E250" s="130">
        <v>-0.40000150000000001</v>
      </c>
      <c r="F250" s="130">
        <v>8507.6</v>
      </c>
      <c r="G250" s="130">
        <v>8.6459999999999992E-3</v>
      </c>
      <c r="H250" s="16">
        <v>19000000</v>
      </c>
      <c r="I250">
        <v>6.8847199999999997E-2</v>
      </c>
    </row>
    <row r="251" spans="1:9" x14ac:dyDescent="0.25">
      <c r="A251" t="s">
        <v>305</v>
      </c>
      <c r="B251" t="s">
        <v>115</v>
      </c>
      <c r="C251">
        <v>2003</v>
      </c>
      <c r="D251" s="130">
        <v>49.700001</v>
      </c>
      <c r="E251" s="130">
        <v>-1.8999980000000001</v>
      </c>
      <c r="F251" s="130">
        <v>8702.49</v>
      </c>
      <c r="G251" s="130">
        <v>2.2649800000000001E-2</v>
      </c>
      <c r="H251" s="16">
        <v>20000000</v>
      </c>
      <c r="I251">
        <v>6.82479E-2</v>
      </c>
    </row>
    <row r="252" spans="1:9" x14ac:dyDescent="0.25">
      <c r="A252" t="s">
        <v>305</v>
      </c>
      <c r="B252" t="s">
        <v>115</v>
      </c>
      <c r="C252">
        <v>2004</v>
      </c>
      <c r="D252" s="130">
        <v>50.900002000000001</v>
      </c>
      <c r="E252" s="130">
        <v>1.2000010000000001</v>
      </c>
      <c r="F252" s="130">
        <v>9025.2900000000009</v>
      </c>
      <c r="G252" s="130">
        <v>3.6421799999999997E-2</v>
      </c>
      <c r="H252" s="16">
        <v>20000000</v>
      </c>
      <c r="I252">
        <v>-1.2899799999999999E-2</v>
      </c>
    </row>
    <row r="253" spans="1:9" x14ac:dyDescent="0.25">
      <c r="A253" t="s">
        <v>305</v>
      </c>
      <c r="B253" t="s">
        <v>115</v>
      </c>
      <c r="C253">
        <v>2005</v>
      </c>
      <c r="D253" s="130">
        <v>50.700001</v>
      </c>
      <c r="E253" s="130">
        <v>-0.20000080000000001</v>
      </c>
      <c r="F253" s="130">
        <v>9306.43</v>
      </c>
      <c r="G253" s="130">
        <v>3.0674900000000001E-2</v>
      </c>
      <c r="H253" s="16">
        <v>20000000</v>
      </c>
      <c r="I253">
        <v>2.5219399999999999E-2</v>
      </c>
    </row>
    <row r="254" spans="1:9" x14ac:dyDescent="0.25">
      <c r="A254" t="s">
        <v>305</v>
      </c>
      <c r="B254" t="s">
        <v>115</v>
      </c>
      <c r="C254">
        <v>2006</v>
      </c>
      <c r="D254" s="130">
        <v>49.200001</v>
      </c>
      <c r="E254" s="130">
        <v>-1.5</v>
      </c>
      <c r="F254" s="130">
        <v>9780.85</v>
      </c>
      <c r="G254" s="130">
        <v>4.9720800000000002E-2</v>
      </c>
      <c r="H254" s="16">
        <v>20000000</v>
      </c>
      <c r="I254">
        <v>-1.5569400000000001E-2</v>
      </c>
    </row>
    <row r="255" spans="1:9" x14ac:dyDescent="0.25">
      <c r="A255" t="s">
        <v>305</v>
      </c>
      <c r="B255" t="s">
        <v>115</v>
      </c>
      <c r="C255">
        <v>2007</v>
      </c>
      <c r="D255" s="130">
        <v>45.799999</v>
      </c>
      <c r="E255" s="130">
        <v>-3.4000020000000002</v>
      </c>
      <c r="F255" s="130">
        <v>10301.4</v>
      </c>
      <c r="G255" s="130">
        <v>5.18541E-2</v>
      </c>
      <c r="H255" s="16">
        <v>20000000</v>
      </c>
      <c r="I255">
        <v>1.3722399999999999E-2</v>
      </c>
    </row>
    <row r="256" spans="1:9" x14ac:dyDescent="0.25">
      <c r="A256" t="s">
        <v>305</v>
      </c>
      <c r="B256" t="s">
        <v>115</v>
      </c>
      <c r="C256">
        <v>2008</v>
      </c>
      <c r="D256" s="130">
        <v>51.400002000000001</v>
      </c>
      <c r="E256" s="130">
        <v>5.6000019999999999</v>
      </c>
      <c r="F256" s="130">
        <v>10512.1</v>
      </c>
      <c r="G256" s="130">
        <v>2.0249400000000001E-2</v>
      </c>
      <c r="H256" s="16">
        <v>20000000</v>
      </c>
      <c r="I256">
        <v>4.74136E-2</v>
      </c>
    </row>
    <row r="257" spans="1:9" x14ac:dyDescent="0.25">
      <c r="A257" t="s">
        <v>305</v>
      </c>
      <c r="B257" t="s">
        <v>115</v>
      </c>
      <c r="C257">
        <v>2009</v>
      </c>
      <c r="D257" s="130">
        <v>52.400002000000001</v>
      </c>
      <c r="E257" s="130">
        <v>1</v>
      </c>
      <c r="F257" s="130">
        <v>10534.2</v>
      </c>
      <c r="G257" s="130">
        <v>2.0980999999999999E-3</v>
      </c>
      <c r="H257" s="16">
        <v>22000000</v>
      </c>
      <c r="I257">
        <v>9.9201300000000006E-2</v>
      </c>
    </row>
    <row r="258" spans="1:9" x14ac:dyDescent="0.25">
      <c r="A258" t="s">
        <v>305</v>
      </c>
      <c r="B258" t="s">
        <v>115</v>
      </c>
      <c r="C258">
        <v>2010</v>
      </c>
      <c r="D258" s="130">
        <v>53.599997999999999</v>
      </c>
      <c r="E258" s="130">
        <v>1.199997</v>
      </c>
      <c r="F258" s="130">
        <v>10801.2</v>
      </c>
      <c r="G258" s="130">
        <v>2.5024399999999999E-2</v>
      </c>
      <c r="H258" s="16">
        <v>22000000</v>
      </c>
      <c r="I258">
        <v>4.6286800000000003E-2</v>
      </c>
    </row>
    <row r="259" spans="1:9" x14ac:dyDescent="0.25">
      <c r="A259" t="s">
        <v>305</v>
      </c>
      <c r="B259" t="s">
        <v>115</v>
      </c>
      <c r="C259">
        <v>2011</v>
      </c>
      <c r="D259" s="130">
        <v>53.599997999999999</v>
      </c>
      <c r="E259" s="130">
        <v>0</v>
      </c>
      <c r="F259" s="130">
        <v>11363.8</v>
      </c>
      <c r="G259" s="130">
        <v>5.07803E-2</v>
      </c>
      <c r="H259" s="16">
        <v>23000000</v>
      </c>
      <c r="I259">
        <v>3.7893299999999998E-2</v>
      </c>
    </row>
    <row r="260" spans="1:9" x14ac:dyDescent="0.25">
      <c r="A260" t="s">
        <v>305</v>
      </c>
      <c r="B260" t="s">
        <v>115</v>
      </c>
      <c r="C260">
        <v>2012</v>
      </c>
      <c r="D260" s="130">
        <v>53.5</v>
      </c>
      <c r="E260" s="130">
        <v>-9.9998500000000004E-2</v>
      </c>
      <c r="F260" s="130">
        <v>11687.2</v>
      </c>
      <c r="G260" s="130">
        <v>2.8064700000000001E-2</v>
      </c>
      <c r="H260" s="16">
        <v>23000000</v>
      </c>
      <c r="I260">
        <v>3.7622200000000001E-2</v>
      </c>
    </row>
    <row r="261" spans="1:9" x14ac:dyDescent="0.25">
      <c r="A261" t="s">
        <v>305</v>
      </c>
      <c r="B261" t="s">
        <v>115</v>
      </c>
      <c r="C261">
        <v>2013</v>
      </c>
    </row>
    <row r="262" spans="1:9" x14ac:dyDescent="0.25">
      <c r="A262" t="s">
        <v>307</v>
      </c>
      <c r="B262" t="s">
        <v>130</v>
      </c>
      <c r="C262">
        <v>1990</v>
      </c>
      <c r="D262" s="130">
        <v>30</v>
      </c>
      <c r="F262" s="130">
        <v>7301.68</v>
      </c>
      <c r="H262" s="16">
        <v>1200000</v>
      </c>
    </row>
    <row r="263" spans="1:9" x14ac:dyDescent="0.25">
      <c r="A263" t="s">
        <v>307</v>
      </c>
      <c r="B263" t="s">
        <v>130</v>
      </c>
      <c r="C263">
        <v>1991</v>
      </c>
      <c r="D263" s="130">
        <v>30.4</v>
      </c>
      <c r="E263" s="130">
        <v>0.39999960000000001</v>
      </c>
      <c r="F263" s="130">
        <v>7305.73</v>
      </c>
      <c r="G263" s="130">
        <v>5.5409999999999997E-4</v>
      </c>
      <c r="H263" s="16">
        <v>1200000</v>
      </c>
      <c r="I263">
        <v>2.0473600000000002E-2</v>
      </c>
    </row>
    <row r="264" spans="1:9" x14ac:dyDescent="0.25">
      <c r="A264" t="s">
        <v>307</v>
      </c>
      <c r="B264" t="s">
        <v>130</v>
      </c>
      <c r="C264">
        <v>1992</v>
      </c>
      <c r="D264" s="130">
        <v>28.1</v>
      </c>
      <c r="E264" s="130">
        <v>-2.2999990000000001</v>
      </c>
      <c r="F264" s="130">
        <v>7783.01</v>
      </c>
      <c r="G264" s="130">
        <v>6.3283900000000004E-2</v>
      </c>
      <c r="H264" s="16">
        <v>1200000</v>
      </c>
      <c r="I264">
        <v>1.9733299999999999E-2</v>
      </c>
    </row>
    <row r="265" spans="1:9" x14ac:dyDescent="0.25">
      <c r="A265" t="s">
        <v>307</v>
      </c>
      <c r="B265" t="s">
        <v>130</v>
      </c>
      <c r="C265">
        <v>1993</v>
      </c>
      <c r="D265" s="130">
        <v>28.1</v>
      </c>
      <c r="E265" s="130">
        <v>0</v>
      </c>
      <c r="F265" s="130">
        <v>8161.28</v>
      </c>
      <c r="G265" s="130">
        <v>4.7458599999999997E-2</v>
      </c>
      <c r="H265" s="16">
        <v>1300000</v>
      </c>
      <c r="I265">
        <v>4.3223699999999997E-2</v>
      </c>
    </row>
    <row r="266" spans="1:9" x14ac:dyDescent="0.25">
      <c r="A266" t="s">
        <v>307</v>
      </c>
      <c r="B266" t="s">
        <v>130</v>
      </c>
      <c r="C266">
        <v>1994</v>
      </c>
      <c r="D266" s="130">
        <v>28.1</v>
      </c>
      <c r="E266" s="130">
        <v>0</v>
      </c>
      <c r="F266" s="130">
        <v>8342.59</v>
      </c>
      <c r="G266" s="130">
        <v>2.1972700000000001E-2</v>
      </c>
      <c r="H266" s="16">
        <v>1300000</v>
      </c>
      <c r="I266">
        <v>3.8615499999999997E-2</v>
      </c>
    </row>
    <row r="267" spans="1:9" x14ac:dyDescent="0.25">
      <c r="A267" t="s">
        <v>307</v>
      </c>
      <c r="B267" t="s">
        <v>130</v>
      </c>
      <c r="C267">
        <v>1995</v>
      </c>
      <c r="D267" s="130">
        <v>28.6</v>
      </c>
      <c r="E267" s="130">
        <v>0.5</v>
      </c>
      <c r="F267" s="130">
        <v>8458.77</v>
      </c>
      <c r="G267" s="130">
        <v>1.38292E-2</v>
      </c>
      <c r="H267" s="16">
        <v>1400000</v>
      </c>
      <c r="I267">
        <v>5.5230500000000002E-2</v>
      </c>
    </row>
    <row r="268" spans="1:9" x14ac:dyDescent="0.25">
      <c r="A268" t="s">
        <v>307</v>
      </c>
      <c r="B268" t="s">
        <v>130</v>
      </c>
      <c r="C268">
        <v>1996</v>
      </c>
      <c r="D268" s="130">
        <v>28.799999</v>
      </c>
      <c r="E268" s="130">
        <v>0.19999890000000001</v>
      </c>
      <c r="F268" s="130">
        <v>8322.23</v>
      </c>
      <c r="G268" s="130">
        <v>-1.6272499999999999E-2</v>
      </c>
      <c r="H268" s="16">
        <v>1400000</v>
      </c>
      <c r="I268">
        <v>2.3597000000000002E-3</v>
      </c>
    </row>
    <row r="269" spans="1:9" x14ac:dyDescent="0.25">
      <c r="A269" t="s">
        <v>307</v>
      </c>
      <c r="B269" t="s">
        <v>130</v>
      </c>
      <c r="C269">
        <v>1997</v>
      </c>
      <c r="D269" s="130">
        <v>30.1</v>
      </c>
      <c r="E269" s="130">
        <v>1.300001</v>
      </c>
      <c r="F269" s="130">
        <v>8566.8799999999992</v>
      </c>
      <c r="G269" s="130">
        <v>2.8973599999999999E-2</v>
      </c>
      <c r="H269" s="16">
        <v>1500000</v>
      </c>
      <c r="I269">
        <v>8.4248500000000004E-2</v>
      </c>
    </row>
    <row r="270" spans="1:9" x14ac:dyDescent="0.25">
      <c r="A270" t="s">
        <v>307</v>
      </c>
      <c r="B270" t="s">
        <v>130</v>
      </c>
      <c r="C270">
        <v>1998</v>
      </c>
      <c r="D270" s="130">
        <v>29.1</v>
      </c>
      <c r="E270" s="130">
        <v>-1</v>
      </c>
      <c r="F270" s="130">
        <v>9057.1299999999992</v>
      </c>
      <c r="G270" s="130">
        <v>5.56479E-2</v>
      </c>
      <c r="H270" s="16">
        <v>1600000</v>
      </c>
      <c r="I270">
        <v>7.3833200000000002E-2</v>
      </c>
    </row>
    <row r="271" spans="1:9" x14ac:dyDescent="0.25">
      <c r="A271" t="s">
        <v>307</v>
      </c>
      <c r="B271" t="s">
        <v>130</v>
      </c>
      <c r="C271">
        <v>1999</v>
      </c>
      <c r="D271" s="130">
        <v>29</v>
      </c>
      <c r="E271" s="130">
        <v>-0.1000004</v>
      </c>
      <c r="F271" s="130">
        <v>9569.26</v>
      </c>
      <c r="G271" s="130">
        <v>5.50041E-2</v>
      </c>
      <c r="H271" s="16">
        <v>1600000</v>
      </c>
      <c r="I271">
        <v>3.1844299999999999E-2</v>
      </c>
    </row>
    <row r="272" spans="1:9" x14ac:dyDescent="0.25">
      <c r="A272" t="s">
        <v>307</v>
      </c>
      <c r="B272" t="s">
        <v>130</v>
      </c>
      <c r="C272">
        <v>2000</v>
      </c>
      <c r="D272" s="130">
        <v>29.200001</v>
      </c>
      <c r="E272" s="130">
        <v>0.20000080000000001</v>
      </c>
      <c r="F272" s="130">
        <v>9523.7999999999993</v>
      </c>
      <c r="G272" s="130">
        <v>-4.7625999999999996E-3</v>
      </c>
      <c r="H272" s="16">
        <v>1600000</v>
      </c>
      <c r="I272">
        <v>1.2512799999999999E-2</v>
      </c>
    </row>
    <row r="273" spans="1:9" x14ac:dyDescent="0.25">
      <c r="A273" t="s">
        <v>307</v>
      </c>
      <c r="B273" t="s">
        <v>130</v>
      </c>
      <c r="C273">
        <v>2001</v>
      </c>
      <c r="D273" s="130">
        <v>31.200001</v>
      </c>
      <c r="E273" s="130">
        <v>2</v>
      </c>
      <c r="F273" s="130">
        <v>9425.08</v>
      </c>
      <c r="G273" s="130">
        <v>-1.04189E-2</v>
      </c>
      <c r="H273" s="16">
        <v>1700000</v>
      </c>
      <c r="I273">
        <v>0.10359549999999999</v>
      </c>
    </row>
    <row r="274" spans="1:9" x14ac:dyDescent="0.25">
      <c r="A274" t="s">
        <v>307</v>
      </c>
      <c r="B274" t="s">
        <v>130</v>
      </c>
      <c r="C274">
        <v>2002</v>
      </c>
      <c r="D274" s="130">
        <v>31.700001</v>
      </c>
      <c r="E274" s="130">
        <v>0.5</v>
      </c>
      <c r="F274" s="130">
        <v>9508.25</v>
      </c>
      <c r="G274" s="130">
        <v>8.7852E-3</v>
      </c>
      <c r="H274" s="16">
        <v>1800000</v>
      </c>
      <c r="I274">
        <v>3.8066599999999999E-2</v>
      </c>
    </row>
    <row r="275" spans="1:9" x14ac:dyDescent="0.25">
      <c r="A275" t="s">
        <v>307</v>
      </c>
      <c r="B275" t="s">
        <v>130</v>
      </c>
      <c r="C275">
        <v>2003</v>
      </c>
      <c r="D275" s="130">
        <v>30.5</v>
      </c>
      <c r="E275" s="130">
        <v>-1.2000010000000001</v>
      </c>
      <c r="F275" s="130">
        <v>9929.7000000000007</v>
      </c>
      <c r="G275" s="130">
        <v>4.3371199999999999E-2</v>
      </c>
      <c r="H275" s="16">
        <v>1800000</v>
      </c>
      <c r="I275">
        <v>3.7288399999999999E-2</v>
      </c>
    </row>
    <row r="276" spans="1:9" x14ac:dyDescent="0.25">
      <c r="A276" t="s">
        <v>307</v>
      </c>
      <c r="B276" t="s">
        <v>130</v>
      </c>
      <c r="C276">
        <v>2004</v>
      </c>
      <c r="D276" s="130">
        <v>31.200001</v>
      </c>
      <c r="E276" s="130">
        <v>0.70000079999999998</v>
      </c>
      <c r="F276" s="130">
        <v>10169.299999999999</v>
      </c>
      <c r="G276" s="130">
        <v>2.3845700000000001E-2</v>
      </c>
      <c r="H276" s="16">
        <v>1800000</v>
      </c>
      <c r="I276">
        <v>1.81348E-2</v>
      </c>
    </row>
    <row r="277" spans="1:9" x14ac:dyDescent="0.25">
      <c r="A277" t="s">
        <v>307</v>
      </c>
      <c r="B277" t="s">
        <v>130</v>
      </c>
      <c r="C277">
        <v>2005</v>
      </c>
      <c r="D277" s="130">
        <v>28.6</v>
      </c>
      <c r="E277" s="130">
        <v>-2.6</v>
      </c>
      <c r="F277" s="130">
        <v>10584</v>
      </c>
      <c r="G277" s="130">
        <v>3.9967500000000003E-2</v>
      </c>
      <c r="H277" s="16">
        <v>1900000</v>
      </c>
      <c r="I277">
        <v>9.6598500000000004E-2</v>
      </c>
    </row>
    <row r="278" spans="1:9" x14ac:dyDescent="0.25">
      <c r="A278" t="s">
        <v>307</v>
      </c>
      <c r="B278" t="s">
        <v>130</v>
      </c>
      <c r="C278">
        <v>2006</v>
      </c>
      <c r="D278" s="130">
        <v>29.299999</v>
      </c>
      <c r="E278" s="130">
        <v>0.69999889999999998</v>
      </c>
      <c r="F278" s="130">
        <v>11323.6</v>
      </c>
      <c r="G278" s="130">
        <v>6.7543000000000006E-2</v>
      </c>
      <c r="H278" s="16">
        <v>2000000</v>
      </c>
      <c r="I278">
        <v>4.0911599999999999E-2</v>
      </c>
    </row>
    <row r="279" spans="1:9" x14ac:dyDescent="0.25">
      <c r="A279" t="s">
        <v>307</v>
      </c>
      <c r="B279" t="s">
        <v>130</v>
      </c>
      <c r="C279">
        <v>2007</v>
      </c>
      <c r="D279" s="130">
        <v>27</v>
      </c>
      <c r="E279" s="130">
        <v>-2.2999990000000001</v>
      </c>
      <c r="F279" s="130">
        <v>12028.4</v>
      </c>
      <c r="G279" s="130">
        <v>6.03876E-2</v>
      </c>
      <c r="H279" s="16">
        <v>2100000</v>
      </c>
      <c r="I279">
        <v>6.81287E-2</v>
      </c>
    </row>
    <row r="280" spans="1:9" x14ac:dyDescent="0.25">
      <c r="A280" t="s">
        <v>307</v>
      </c>
      <c r="B280" t="s">
        <v>130</v>
      </c>
      <c r="C280">
        <v>2008</v>
      </c>
      <c r="D280" s="130">
        <v>27.1</v>
      </c>
      <c r="E280" s="130">
        <v>0.1000004</v>
      </c>
      <c r="F280" s="130">
        <v>12167.6</v>
      </c>
      <c r="G280" s="130">
        <v>1.1501300000000001E-2</v>
      </c>
      <c r="H280" s="16">
        <v>2100000</v>
      </c>
      <c r="I280">
        <v>2.52631E-2</v>
      </c>
    </row>
    <row r="281" spans="1:9" x14ac:dyDescent="0.25">
      <c r="A281" t="s">
        <v>307</v>
      </c>
      <c r="B281" t="s">
        <v>130</v>
      </c>
      <c r="C281">
        <v>2009</v>
      </c>
      <c r="D281" s="130">
        <v>27.299999</v>
      </c>
      <c r="E281" s="130">
        <v>0.19999890000000001</v>
      </c>
      <c r="F281" s="130">
        <v>11864.1</v>
      </c>
      <c r="G281" s="130">
        <v>-2.5255199999999998E-2</v>
      </c>
      <c r="H281" s="16">
        <v>2100000</v>
      </c>
      <c r="I281">
        <v>3.5638099999999999E-2</v>
      </c>
    </row>
    <row r="282" spans="1:9" x14ac:dyDescent="0.25">
      <c r="A282" t="s">
        <v>307</v>
      </c>
      <c r="B282" t="s">
        <v>130</v>
      </c>
      <c r="C282">
        <v>2010</v>
      </c>
      <c r="D282" s="130">
        <v>23.9</v>
      </c>
      <c r="E282" s="130">
        <v>-3.4</v>
      </c>
      <c r="F282" s="130">
        <v>12269.9</v>
      </c>
      <c r="G282" s="130">
        <v>3.3629399999999997E-2</v>
      </c>
      <c r="H282" s="16">
        <v>2200000</v>
      </c>
      <c r="I282">
        <v>4.6909800000000001E-2</v>
      </c>
    </row>
    <row r="283" spans="1:9" x14ac:dyDescent="0.25">
      <c r="A283" t="s">
        <v>307</v>
      </c>
      <c r="B283" t="s">
        <v>130</v>
      </c>
      <c r="C283">
        <v>2011</v>
      </c>
      <c r="D283" s="130">
        <v>24</v>
      </c>
      <c r="E283" s="130">
        <v>0.1000004</v>
      </c>
      <c r="F283" s="130">
        <v>12630.1</v>
      </c>
      <c r="G283" s="130">
        <v>2.8934499999999998E-2</v>
      </c>
      <c r="H283" s="16">
        <v>2200000</v>
      </c>
      <c r="I283">
        <v>4.3517899999999998E-2</v>
      </c>
    </row>
    <row r="284" spans="1:9" x14ac:dyDescent="0.25">
      <c r="A284" t="s">
        <v>307</v>
      </c>
      <c r="B284" t="s">
        <v>130</v>
      </c>
      <c r="C284">
        <v>2012</v>
      </c>
      <c r="D284" s="130">
        <v>23.9</v>
      </c>
      <c r="E284" s="130">
        <v>-0.1000004</v>
      </c>
      <c r="F284" s="130">
        <v>13091.1</v>
      </c>
      <c r="G284" s="130">
        <v>3.5847700000000003E-2</v>
      </c>
      <c r="H284" s="16">
        <v>2300000</v>
      </c>
      <c r="I284">
        <v>4.2981400000000003E-2</v>
      </c>
    </row>
    <row r="285" spans="1:9" x14ac:dyDescent="0.25">
      <c r="A285" t="s">
        <v>307</v>
      </c>
      <c r="B285" t="s">
        <v>130</v>
      </c>
      <c r="C285">
        <v>2013</v>
      </c>
    </row>
    <row r="286" spans="1:9" x14ac:dyDescent="0.25">
      <c r="A286" t="s">
        <v>311</v>
      </c>
      <c r="B286" t="s">
        <v>226</v>
      </c>
      <c r="C286">
        <v>1995</v>
      </c>
      <c r="D286" s="130">
        <v>16</v>
      </c>
      <c r="F286" s="130">
        <v>9102.06</v>
      </c>
      <c r="H286" s="16">
        <v>4600000</v>
      </c>
    </row>
    <row r="287" spans="1:9" x14ac:dyDescent="0.25">
      <c r="A287" t="s">
        <v>311</v>
      </c>
      <c r="B287" t="s">
        <v>226</v>
      </c>
      <c r="C287">
        <v>1996</v>
      </c>
      <c r="D287" s="130">
        <v>15.7</v>
      </c>
      <c r="E287" s="130">
        <v>-0.30000019999999999</v>
      </c>
      <c r="F287" s="130">
        <v>9771.98</v>
      </c>
      <c r="G287" s="130">
        <v>7.1018200000000004E-2</v>
      </c>
      <c r="H287" s="16">
        <v>4700000</v>
      </c>
      <c r="I287">
        <v>5.7967000000000001E-3</v>
      </c>
    </row>
    <row r="288" spans="1:9" x14ac:dyDescent="0.25">
      <c r="A288" t="s">
        <v>311</v>
      </c>
      <c r="B288" t="s">
        <v>226</v>
      </c>
      <c r="C288">
        <v>1997</v>
      </c>
      <c r="D288" s="130">
        <v>16.399999999999999</v>
      </c>
      <c r="E288" s="130">
        <v>0.69999979999999995</v>
      </c>
      <c r="F288" s="130">
        <v>10004.5</v>
      </c>
      <c r="G288" s="130">
        <v>2.3516700000000001E-2</v>
      </c>
      <c r="H288" s="16">
        <v>4700000</v>
      </c>
      <c r="I288">
        <v>3.9392000000000003E-3</v>
      </c>
    </row>
    <row r="289" spans="1:9" x14ac:dyDescent="0.25">
      <c r="A289" t="s">
        <v>311</v>
      </c>
      <c r="B289" t="s">
        <v>226</v>
      </c>
      <c r="C289">
        <v>1998</v>
      </c>
      <c r="D289" s="130">
        <v>17.299999</v>
      </c>
      <c r="E289" s="130">
        <v>0.89999960000000001</v>
      </c>
      <c r="F289" s="130">
        <v>9984.16</v>
      </c>
      <c r="G289" s="130">
        <v>-2.0360999999999999E-3</v>
      </c>
      <c r="H289" s="16">
        <v>4700000</v>
      </c>
      <c r="I289">
        <v>2.3237000000000002E-3</v>
      </c>
    </row>
    <row r="290" spans="1:9" x14ac:dyDescent="0.25">
      <c r="A290" t="s">
        <v>311</v>
      </c>
      <c r="B290" t="s">
        <v>226</v>
      </c>
      <c r="C290">
        <v>1999</v>
      </c>
      <c r="D290" s="130">
        <v>18.5</v>
      </c>
      <c r="E290" s="130">
        <v>1.2000010000000001</v>
      </c>
      <c r="F290" s="130">
        <v>10566.3</v>
      </c>
      <c r="G290" s="130">
        <v>5.6673000000000001E-2</v>
      </c>
      <c r="H290" s="16">
        <v>4700000</v>
      </c>
      <c r="I290">
        <v>2.8135E-3</v>
      </c>
    </row>
    <row r="291" spans="1:9" x14ac:dyDescent="0.25">
      <c r="A291" t="s">
        <v>311</v>
      </c>
      <c r="B291" t="s">
        <v>226</v>
      </c>
      <c r="C291">
        <v>2000</v>
      </c>
      <c r="D291" s="130">
        <v>19</v>
      </c>
      <c r="E291" s="130">
        <v>0.5</v>
      </c>
      <c r="F291" s="130">
        <v>11154.4</v>
      </c>
      <c r="G291" s="130">
        <v>5.4162000000000002E-2</v>
      </c>
      <c r="H291" s="16">
        <v>4700000</v>
      </c>
      <c r="I291">
        <v>1.5732999999999999E-3</v>
      </c>
    </row>
    <row r="292" spans="1:9" x14ac:dyDescent="0.25">
      <c r="A292" t="s">
        <v>311</v>
      </c>
      <c r="B292" t="s">
        <v>226</v>
      </c>
      <c r="C292">
        <v>2001</v>
      </c>
      <c r="D292" s="130">
        <v>19.899999999999999</v>
      </c>
      <c r="E292" s="130">
        <v>0.89999960000000001</v>
      </c>
      <c r="F292" s="130">
        <v>11471.2</v>
      </c>
      <c r="G292" s="130">
        <v>2.8005599999999999E-2</v>
      </c>
      <c r="H292" s="16">
        <v>4700000</v>
      </c>
      <c r="I292">
        <v>2.3825000000000001E-3</v>
      </c>
    </row>
    <row r="293" spans="1:9" x14ac:dyDescent="0.25">
      <c r="A293" t="s">
        <v>311</v>
      </c>
      <c r="B293" t="s">
        <v>226</v>
      </c>
      <c r="C293">
        <v>2002</v>
      </c>
      <c r="D293" s="130">
        <v>19.799999</v>
      </c>
      <c r="E293" s="130">
        <v>-0.1000004</v>
      </c>
      <c r="F293" s="130">
        <v>11597</v>
      </c>
      <c r="G293" s="130">
        <v>1.091E-2</v>
      </c>
      <c r="H293" s="16">
        <v>4700000</v>
      </c>
      <c r="I293">
        <v>3.0929999999999998E-3</v>
      </c>
    </row>
    <row r="294" spans="1:9" x14ac:dyDescent="0.25">
      <c r="A294" t="s">
        <v>311</v>
      </c>
      <c r="B294" t="s">
        <v>226</v>
      </c>
      <c r="C294">
        <v>2003</v>
      </c>
      <c r="D294" s="130">
        <v>20.299999</v>
      </c>
      <c r="E294" s="130">
        <v>0.5</v>
      </c>
      <c r="F294" s="130">
        <v>12000.5</v>
      </c>
      <c r="G294" s="130">
        <v>3.42026E-2</v>
      </c>
      <c r="H294" s="16">
        <v>4700000</v>
      </c>
      <c r="I294">
        <v>3.3002000000000001E-3</v>
      </c>
    </row>
    <row r="295" spans="1:9" x14ac:dyDescent="0.25">
      <c r="A295" t="s">
        <v>311</v>
      </c>
      <c r="B295" t="s">
        <v>226</v>
      </c>
      <c r="C295">
        <v>2004</v>
      </c>
      <c r="D295" s="130">
        <v>20.200001</v>
      </c>
      <c r="E295" s="130">
        <v>-9.9998500000000004E-2</v>
      </c>
      <c r="F295" s="130">
        <v>12662.2</v>
      </c>
      <c r="G295" s="130">
        <v>5.3668E-2</v>
      </c>
      <c r="H295" s="16">
        <v>4700000</v>
      </c>
      <c r="I295">
        <v>8.5939999999999996E-4</v>
      </c>
    </row>
    <row r="296" spans="1:9" x14ac:dyDescent="0.25">
      <c r="A296" t="s">
        <v>311</v>
      </c>
      <c r="B296" t="s">
        <v>226</v>
      </c>
      <c r="C296">
        <v>2005</v>
      </c>
      <c r="D296" s="130">
        <v>19.600000000000001</v>
      </c>
      <c r="E296" s="130">
        <v>-0.60000039999999999</v>
      </c>
      <c r="F296" s="130">
        <v>14057.2</v>
      </c>
      <c r="G296" s="130">
        <v>0.104517</v>
      </c>
      <c r="H296" s="16">
        <v>4800000</v>
      </c>
      <c r="I296">
        <v>1.55712E-2</v>
      </c>
    </row>
    <row r="297" spans="1:9" x14ac:dyDescent="0.25">
      <c r="A297" t="s">
        <v>311</v>
      </c>
      <c r="B297" t="s">
        <v>226</v>
      </c>
      <c r="C297">
        <v>2006</v>
      </c>
      <c r="D297" s="130">
        <v>18</v>
      </c>
      <c r="E297" s="130">
        <v>-1.6</v>
      </c>
      <c r="F297" s="130">
        <v>15740.8</v>
      </c>
      <c r="G297" s="130">
        <v>0.1131172</v>
      </c>
      <c r="H297" s="16">
        <v>4900000</v>
      </c>
      <c r="I297">
        <v>1.2630600000000001E-2</v>
      </c>
    </row>
    <row r="298" spans="1:9" x14ac:dyDescent="0.25">
      <c r="A298" t="s">
        <v>311</v>
      </c>
      <c r="B298" t="s">
        <v>226</v>
      </c>
      <c r="C298">
        <v>2007</v>
      </c>
      <c r="D298" s="130">
        <v>16.899999999999999</v>
      </c>
      <c r="E298" s="130">
        <v>-1.1000000000000001</v>
      </c>
      <c r="F298" s="130">
        <v>16883</v>
      </c>
      <c r="G298" s="130">
        <v>7.0055000000000006E-2</v>
      </c>
      <c r="H298" s="16">
        <v>5000000</v>
      </c>
      <c r="I298">
        <v>2.76765E-2</v>
      </c>
    </row>
    <row r="299" spans="1:9" x14ac:dyDescent="0.25">
      <c r="A299" t="s">
        <v>311</v>
      </c>
      <c r="B299" t="s">
        <v>226</v>
      </c>
      <c r="C299">
        <v>2008</v>
      </c>
      <c r="D299" s="130">
        <v>16.700001</v>
      </c>
      <c r="E299" s="130">
        <v>-0.19999890000000001</v>
      </c>
      <c r="F299" s="130">
        <v>17586.400000000001</v>
      </c>
      <c r="G299" s="130">
        <v>4.0814400000000001E-2</v>
      </c>
      <c r="H299" s="16">
        <v>5100000</v>
      </c>
      <c r="I299">
        <v>1.7162E-2</v>
      </c>
    </row>
    <row r="300" spans="1:9" x14ac:dyDescent="0.25">
      <c r="A300" t="s">
        <v>311</v>
      </c>
      <c r="B300" t="s">
        <v>226</v>
      </c>
      <c r="C300">
        <v>2009</v>
      </c>
      <c r="D300" s="130">
        <v>16.200001</v>
      </c>
      <c r="E300" s="130">
        <v>-0.5</v>
      </c>
      <c r="F300" s="130">
        <v>17853.099999999999</v>
      </c>
      <c r="G300" s="130">
        <v>1.50537E-2</v>
      </c>
      <c r="H300" s="16">
        <v>5200000</v>
      </c>
      <c r="I300">
        <v>3.4930700000000002E-2</v>
      </c>
    </row>
    <row r="301" spans="1:9" x14ac:dyDescent="0.25">
      <c r="A301" t="s">
        <v>311</v>
      </c>
      <c r="B301" t="s">
        <v>226</v>
      </c>
      <c r="C301">
        <v>2010</v>
      </c>
      <c r="D301" s="130">
        <v>16.200001</v>
      </c>
      <c r="E301" s="130">
        <v>0</v>
      </c>
      <c r="F301" s="130">
        <v>18290.900000000001</v>
      </c>
      <c r="G301" s="130">
        <v>2.4227100000000001E-2</v>
      </c>
      <c r="H301" s="16">
        <v>5300000</v>
      </c>
      <c r="I301">
        <v>6.8146999999999999E-3</v>
      </c>
    </row>
    <row r="302" spans="1:9" x14ac:dyDescent="0.25">
      <c r="A302" t="s">
        <v>311</v>
      </c>
      <c r="B302" t="s">
        <v>226</v>
      </c>
      <c r="C302">
        <v>2011</v>
      </c>
      <c r="D302" s="130">
        <v>22.700001</v>
      </c>
      <c r="E302" s="130">
        <v>6.5</v>
      </c>
      <c r="F302" s="130">
        <v>18796.2</v>
      </c>
      <c r="G302" s="130">
        <v>2.7249300000000001E-2</v>
      </c>
      <c r="H302" s="16">
        <v>5300000</v>
      </c>
      <c r="I302">
        <v>6.6950000000000004E-3</v>
      </c>
    </row>
    <row r="303" spans="1:9" x14ac:dyDescent="0.25">
      <c r="A303" t="s">
        <v>311</v>
      </c>
      <c r="B303" t="s">
        <v>226</v>
      </c>
      <c r="C303">
        <v>2012</v>
      </c>
      <c r="H303" s="16">
        <v>5300000</v>
      </c>
      <c r="I303">
        <v>4.4356999999999999E-3</v>
      </c>
    </row>
    <row r="304" spans="1:9" x14ac:dyDescent="0.25">
      <c r="A304" t="s">
        <v>311</v>
      </c>
      <c r="B304" t="s">
        <v>226</v>
      </c>
      <c r="C304">
        <v>2013</v>
      </c>
    </row>
    <row r="305" spans="1:9" x14ac:dyDescent="0.25">
      <c r="A305" t="s">
        <v>313</v>
      </c>
      <c r="B305" t="s">
        <v>139</v>
      </c>
      <c r="C305">
        <v>1993</v>
      </c>
      <c r="D305" s="130">
        <v>13</v>
      </c>
      <c r="F305" s="130">
        <v>16159.8</v>
      </c>
      <c r="H305" s="16">
        <v>5100000</v>
      </c>
    </row>
    <row r="306" spans="1:9" x14ac:dyDescent="0.25">
      <c r="A306" t="s">
        <v>313</v>
      </c>
      <c r="B306" t="s">
        <v>139</v>
      </c>
      <c r="C306">
        <v>1994</v>
      </c>
      <c r="D306" s="130">
        <v>13.2</v>
      </c>
      <c r="E306" s="130">
        <v>0.19999980000000001</v>
      </c>
      <c r="F306" s="130">
        <v>16624</v>
      </c>
      <c r="G306" s="130">
        <v>2.8316500000000001E-2</v>
      </c>
      <c r="H306" s="16">
        <v>5100000</v>
      </c>
      <c r="I306">
        <v>1.0986299999999999E-2</v>
      </c>
    </row>
    <row r="307" spans="1:9" x14ac:dyDescent="0.25">
      <c r="A307" t="s">
        <v>313</v>
      </c>
      <c r="B307" t="s">
        <v>139</v>
      </c>
      <c r="C307">
        <v>1995</v>
      </c>
      <c r="D307" s="130">
        <v>13.9</v>
      </c>
      <c r="E307" s="130">
        <v>0.69999979999999995</v>
      </c>
      <c r="F307" s="130">
        <v>17669</v>
      </c>
      <c r="G307" s="130">
        <v>6.0968399999999999E-2</v>
      </c>
      <c r="H307" s="16">
        <v>5200000</v>
      </c>
      <c r="I307">
        <v>2.9767000000000001E-3</v>
      </c>
    </row>
    <row r="308" spans="1:9" x14ac:dyDescent="0.25">
      <c r="A308" t="s">
        <v>313</v>
      </c>
      <c r="B308" t="s">
        <v>139</v>
      </c>
      <c r="C308">
        <v>1996</v>
      </c>
      <c r="D308" s="130">
        <v>13.9</v>
      </c>
      <c r="E308" s="130">
        <v>0</v>
      </c>
      <c r="F308" s="130">
        <v>18492.7</v>
      </c>
      <c r="G308" s="130">
        <v>4.5560799999999999E-2</v>
      </c>
      <c r="H308" s="16">
        <v>5200000</v>
      </c>
      <c r="I308">
        <v>1.06E-4</v>
      </c>
    </row>
    <row r="309" spans="1:9" x14ac:dyDescent="0.25">
      <c r="A309" t="s">
        <v>313</v>
      </c>
      <c r="B309" t="s">
        <v>139</v>
      </c>
      <c r="C309">
        <v>1997</v>
      </c>
      <c r="D309" s="130">
        <v>12.2</v>
      </c>
      <c r="E309" s="130">
        <v>-1.7</v>
      </c>
      <c r="F309" s="130">
        <v>18354.8</v>
      </c>
      <c r="G309" s="130">
        <v>-7.4844000000000004E-3</v>
      </c>
      <c r="H309" s="16">
        <v>5200000</v>
      </c>
      <c r="I309">
        <v>2.8942999999999998E-3</v>
      </c>
    </row>
    <row r="310" spans="1:9" x14ac:dyDescent="0.25">
      <c r="A310" t="s">
        <v>313</v>
      </c>
      <c r="B310" t="s">
        <v>139</v>
      </c>
      <c r="C310">
        <v>1998</v>
      </c>
      <c r="D310" s="130">
        <v>13.4</v>
      </c>
      <c r="E310" s="130">
        <v>1.2</v>
      </c>
      <c r="F310" s="130">
        <v>18328.8</v>
      </c>
      <c r="G310" s="130">
        <v>-1.4153E-3</v>
      </c>
      <c r="H310" s="16">
        <v>5200000</v>
      </c>
      <c r="I310">
        <v>4.2259999999999997E-3</v>
      </c>
    </row>
    <row r="311" spans="1:9" x14ac:dyDescent="0.25">
      <c r="A311" t="s">
        <v>313</v>
      </c>
      <c r="B311" t="s">
        <v>139</v>
      </c>
      <c r="C311">
        <v>1999</v>
      </c>
      <c r="D311" s="130">
        <v>14.5</v>
      </c>
      <c r="E311" s="130">
        <v>1.1000000000000001</v>
      </c>
      <c r="F311" s="130">
        <v>18655.7</v>
      </c>
      <c r="G311" s="130">
        <v>1.7675400000000001E-2</v>
      </c>
      <c r="H311" s="16">
        <v>5200000</v>
      </c>
      <c r="I311">
        <v>3.8991999999999998E-3</v>
      </c>
    </row>
    <row r="312" spans="1:9" x14ac:dyDescent="0.25">
      <c r="A312" t="s">
        <v>313</v>
      </c>
      <c r="B312" t="s">
        <v>139</v>
      </c>
      <c r="C312">
        <v>2000</v>
      </c>
      <c r="D312" s="130">
        <v>15</v>
      </c>
      <c r="E312" s="130">
        <v>0.5</v>
      </c>
      <c r="F312" s="130">
        <v>19491.099999999999</v>
      </c>
      <c r="G312" s="130">
        <v>4.3808E-2</v>
      </c>
      <c r="H312" s="16">
        <v>5200000</v>
      </c>
      <c r="I312">
        <v>-6.4622000000000004E-3</v>
      </c>
    </row>
    <row r="313" spans="1:9" x14ac:dyDescent="0.25">
      <c r="A313" t="s">
        <v>313</v>
      </c>
      <c r="B313" t="s">
        <v>139</v>
      </c>
      <c r="C313">
        <v>2001</v>
      </c>
      <c r="D313" s="130">
        <v>15.3</v>
      </c>
      <c r="E313" s="130">
        <v>0.30000019999999999</v>
      </c>
      <c r="F313" s="130">
        <v>20170.5</v>
      </c>
      <c r="G313" s="130">
        <v>3.4260699999999998E-2</v>
      </c>
      <c r="H313" s="16">
        <v>5200000</v>
      </c>
      <c r="I313">
        <v>-5.9122000000000003E-3</v>
      </c>
    </row>
    <row r="314" spans="1:9" x14ac:dyDescent="0.25">
      <c r="A314" t="s">
        <v>313</v>
      </c>
      <c r="B314" t="s">
        <v>139</v>
      </c>
      <c r="C314">
        <v>2002</v>
      </c>
      <c r="D314" s="130">
        <v>15.9</v>
      </c>
      <c r="E314" s="130">
        <v>0.59999939999999996</v>
      </c>
      <c r="F314" s="130">
        <v>20643.8</v>
      </c>
      <c r="G314" s="130">
        <v>2.3194300000000001E-2</v>
      </c>
      <c r="H314" s="16">
        <v>5100000</v>
      </c>
      <c r="I314">
        <v>-9.4470000000000003E-4</v>
      </c>
    </row>
    <row r="315" spans="1:9" x14ac:dyDescent="0.25">
      <c r="A315" t="s">
        <v>313</v>
      </c>
      <c r="B315" t="s">
        <v>139</v>
      </c>
      <c r="C315">
        <v>2003</v>
      </c>
      <c r="D315" s="130">
        <v>17.399999999999999</v>
      </c>
      <c r="E315" s="130">
        <v>1.5</v>
      </c>
      <c r="F315" s="130">
        <v>21427.4</v>
      </c>
      <c r="G315" s="130">
        <v>3.7256200000000003E-2</v>
      </c>
      <c r="H315" s="16">
        <v>5100000</v>
      </c>
      <c r="I315">
        <v>-2.9832999999999999E-3</v>
      </c>
    </row>
    <row r="316" spans="1:9" x14ac:dyDescent="0.25">
      <c r="A316" t="s">
        <v>313</v>
      </c>
      <c r="B316" t="s">
        <v>139</v>
      </c>
      <c r="C316">
        <v>2004</v>
      </c>
      <c r="D316" s="130">
        <v>16.899999999999999</v>
      </c>
      <c r="E316" s="130">
        <v>-0.5</v>
      </c>
      <c r="F316" s="130">
        <v>22436.799999999999</v>
      </c>
      <c r="G316" s="130">
        <v>4.6032000000000003E-2</v>
      </c>
      <c r="H316" s="16">
        <v>5100000</v>
      </c>
      <c r="I316">
        <v>-1.1015E-3</v>
      </c>
    </row>
    <row r="317" spans="1:9" x14ac:dyDescent="0.25">
      <c r="A317" t="s">
        <v>313</v>
      </c>
      <c r="B317" t="s">
        <v>139</v>
      </c>
      <c r="C317">
        <v>2005</v>
      </c>
      <c r="D317" s="130">
        <v>16</v>
      </c>
      <c r="E317" s="130">
        <v>-0.89999960000000001</v>
      </c>
      <c r="F317" s="130">
        <v>23918.7</v>
      </c>
      <c r="G317" s="130">
        <v>6.3959100000000005E-2</v>
      </c>
      <c r="H317" s="16">
        <v>5200000</v>
      </c>
      <c r="I317">
        <v>8.0441000000000002E-3</v>
      </c>
    </row>
    <row r="318" spans="1:9" x14ac:dyDescent="0.25">
      <c r="A318" t="s">
        <v>313</v>
      </c>
      <c r="B318" t="s">
        <v>139</v>
      </c>
      <c r="C318">
        <v>2006</v>
      </c>
      <c r="D318" s="130">
        <v>16.100000000000001</v>
      </c>
      <c r="E318" s="130">
        <v>0.1000004</v>
      </c>
      <c r="F318" s="130">
        <v>25528.6</v>
      </c>
      <c r="G318" s="130">
        <v>6.5140699999999996E-2</v>
      </c>
      <c r="H318" s="16">
        <v>5200000</v>
      </c>
      <c r="I318">
        <v>2.1397999999999999E-3</v>
      </c>
    </row>
    <row r="319" spans="1:9" x14ac:dyDescent="0.25">
      <c r="A319" t="s">
        <v>313</v>
      </c>
      <c r="B319" t="s">
        <v>139</v>
      </c>
      <c r="C319">
        <v>2007</v>
      </c>
      <c r="D319" s="130">
        <v>16.200001</v>
      </c>
      <c r="E319" s="130">
        <v>0.1000004</v>
      </c>
      <c r="F319" s="130">
        <v>26835.7</v>
      </c>
      <c r="G319" s="130">
        <v>4.9931499999999997E-2</v>
      </c>
      <c r="H319" s="16">
        <v>5200000</v>
      </c>
      <c r="I319">
        <v>1.3885E-3</v>
      </c>
    </row>
    <row r="320" spans="1:9" x14ac:dyDescent="0.25">
      <c r="A320" t="s">
        <v>313</v>
      </c>
      <c r="B320" t="s">
        <v>139</v>
      </c>
      <c r="C320">
        <v>2008</v>
      </c>
      <c r="D320" s="130">
        <v>16.100000000000001</v>
      </c>
      <c r="E320" s="130">
        <v>-0.1000004</v>
      </c>
      <c r="F320" s="130">
        <v>27438.799999999999</v>
      </c>
      <c r="G320" s="130">
        <v>2.2225399999999999E-2</v>
      </c>
      <c r="H320" s="16">
        <v>5200000</v>
      </c>
      <c r="I320">
        <v>4.9021000000000004E-3</v>
      </c>
    </row>
    <row r="321" spans="1:9" x14ac:dyDescent="0.25">
      <c r="A321" t="s">
        <v>313</v>
      </c>
      <c r="B321" t="s">
        <v>139</v>
      </c>
      <c r="C321">
        <v>2009</v>
      </c>
      <c r="D321" s="130">
        <v>16.799999</v>
      </c>
      <c r="E321" s="130">
        <v>0.69999889999999998</v>
      </c>
      <c r="F321" s="130">
        <v>26053.200000000001</v>
      </c>
      <c r="G321" s="130">
        <v>-5.1816000000000001E-2</v>
      </c>
      <c r="H321" s="16">
        <v>5300000</v>
      </c>
      <c r="I321">
        <v>8.2879000000000008E-3</v>
      </c>
    </row>
    <row r="322" spans="1:9" x14ac:dyDescent="0.25">
      <c r="A322" t="s">
        <v>313</v>
      </c>
      <c r="B322" t="s">
        <v>139</v>
      </c>
      <c r="C322">
        <v>2010</v>
      </c>
      <c r="D322" s="130">
        <v>17.700001</v>
      </c>
      <c r="E322" s="130">
        <v>0.90000150000000001</v>
      </c>
      <c r="F322" s="130">
        <v>26618.9</v>
      </c>
      <c r="G322" s="130">
        <v>2.1479600000000001E-2</v>
      </c>
      <c r="H322" s="16">
        <v>5200000</v>
      </c>
      <c r="I322">
        <v>-2.7634000000000001E-3</v>
      </c>
    </row>
    <row r="323" spans="1:9" x14ac:dyDescent="0.25">
      <c r="A323" t="s">
        <v>313</v>
      </c>
      <c r="B323" t="s">
        <v>139</v>
      </c>
      <c r="C323">
        <v>2011</v>
      </c>
      <c r="D323" s="130">
        <v>18</v>
      </c>
      <c r="E323" s="130">
        <v>0.29999920000000002</v>
      </c>
      <c r="F323" s="130">
        <v>27047</v>
      </c>
      <c r="G323" s="130">
        <v>1.5955E-2</v>
      </c>
      <c r="H323" s="16">
        <v>5200000</v>
      </c>
      <c r="I323">
        <v>4.528E-4</v>
      </c>
    </row>
    <row r="324" spans="1:9" x14ac:dyDescent="0.25">
      <c r="A324" t="s">
        <v>313</v>
      </c>
      <c r="B324" t="s">
        <v>139</v>
      </c>
      <c r="C324">
        <v>2012</v>
      </c>
      <c r="D324" s="130">
        <v>18.399999999999999</v>
      </c>
      <c r="E324" s="130">
        <v>0.39999960000000001</v>
      </c>
      <c r="F324" s="130">
        <v>26733.4</v>
      </c>
      <c r="G324" s="130">
        <v>-1.1662499999999999E-2</v>
      </c>
      <c r="H324" s="16">
        <v>5300000</v>
      </c>
      <c r="I324">
        <v>7.5630000000000003E-3</v>
      </c>
    </row>
    <row r="325" spans="1:9" x14ac:dyDescent="0.25">
      <c r="A325" t="s">
        <v>313</v>
      </c>
      <c r="B325" t="s">
        <v>139</v>
      </c>
      <c r="C325">
        <v>2013</v>
      </c>
    </row>
    <row r="326" spans="1:9" x14ac:dyDescent="0.25">
      <c r="A326" t="s">
        <v>333</v>
      </c>
      <c r="B326" t="s">
        <v>161</v>
      </c>
      <c r="C326">
        <v>1990</v>
      </c>
      <c r="D326" s="130">
        <v>11</v>
      </c>
      <c r="F326" s="130">
        <v>30635.9</v>
      </c>
      <c r="H326" s="16">
        <v>37000000</v>
      </c>
    </row>
    <row r="327" spans="1:9" x14ac:dyDescent="0.25">
      <c r="A327" t="s">
        <v>333</v>
      </c>
      <c r="B327" t="s">
        <v>161</v>
      </c>
      <c r="C327">
        <v>1991</v>
      </c>
      <c r="D327" s="130">
        <v>9.6999998000000005</v>
      </c>
      <c r="E327" s="130">
        <v>-1.3</v>
      </c>
      <c r="F327" s="130">
        <v>31967.1</v>
      </c>
      <c r="G327" s="130">
        <v>4.2534799999999998E-2</v>
      </c>
      <c r="H327" s="16">
        <v>40000000</v>
      </c>
      <c r="I327">
        <v>7.0924200000000007E-2</v>
      </c>
    </row>
    <row r="328" spans="1:9" x14ac:dyDescent="0.25">
      <c r="A328" t="s">
        <v>333</v>
      </c>
      <c r="B328" t="s">
        <v>161</v>
      </c>
      <c r="C328">
        <v>1992</v>
      </c>
      <c r="D328" s="130">
        <v>10</v>
      </c>
      <c r="E328" s="130">
        <v>0.30000019999999999</v>
      </c>
      <c r="F328" s="130">
        <v>32331.5</v>
      </c>
      <c r="G328" s="130">
        <v>1.13344E-2</v>
      </c>
      <c r="H328" s="16">
        <v>40000000</v>
      </c>
      <c r="I328">
        <v>-2.1327999999999998E-3</v>
      </c>
    </row>
    <row r="329" spans="1:9" x14ac:dyDescent="0.25">
      <c r="A329" t="s">
        <v>333</v>
      </c>
      <c r="B329" t="s">
        <v>161</v>
      </c>
      <c r="C329">
        <v>1993</v>
      </c>
      <c r="D329" s="130">
        <v>10.3</v>
      </c>
      <c r="E329" s="130">
        <v>0.30000019999999999</v>
      </c>
      <c r="F329" s="130">
        <v>31797.8</v>
      </c>
      <c r="G329" s="130">
        <v>-1.6645400000000001E-2</v>
      </c>
      <c r="H329" s="16">
        <v>40000000</v>
      </c>
      <c r="I329">
        <v>-1.2388E-3</v>
      </c>
    </row>
    <row r="330" spans="1:9" x14ac:dyDescent="0.25">
      <c r="A330" t="s">
        <v>333</v>
      </c>
      <c r="B330" t="s">
        <v>161</v>
      </c>
      <c r="C330">
        <v>1994</v>
      </c>
      <c r="D330" s="130">
        <v>10.6</v>
      </c>
      <c r="E330" s="130">
        <v>0.30000019999999999</v>
      </c>
      <c r="F330" s="130">
        <v>32470.9</v>
      </c>
      <c r="G330" s="130">
        <v>2.0948399999999999E-2</v>
      </c>
      <c r="H330" s="16">
        <v>40000000</v>
      </c>
      <c r="I330">
        <v>-2.3010000000000001E-3</v>
      </c>
    </row>
    <row r="331" spans="1:9" x14ac:dyDescent="0.25">
      <c r="A331" t="s">
        <v>333</v>
      </c>
      <c r="B331" t="s">
        <v>161</v>
      </c>
      <c r="C331">
        <v>1995</v>
      </c>
      <c r="D331" s="130">
        <v>10.7</v>
      </c>
      <c r="E331" s="130">
        <v>9.9999400000000002E-2</v>
      </c>
      <c r="F331" s="130">
        <v>32918.6</v>
      </c>
      <c r="G331" s="130">
        <v>1.36919E-2</v>
      </c>
      <c r="H331" s="16">
        <v>40000000</v>
      </c>
      <c r="I331">
        <v>1.3974E-3</v>
      </c>
    </row>
    <row r="332" spans="1:9" x14ac:dyDescent="0.25">
      <c r="A332" t="s">
        <v>333</v>
      </c>
      <c r="B332" t="s">
        <v>161</v>
      </c>
      <c r="C332">
        <v>1996</v>
      </c>
      <c r="D332" s="130">
        <v>10.6</v>
      </c>
      <c r="E332" s="130">
        <v>-9.9999400000000002E-2</v>
      </c>
      <c r="F332" s="130">
        <v>33083</v>
      </c>
      <c r="G332" s="130">
        <v>4.9820000000000003E-3</v>
      </c>
      <c r="H332" s="16">
        <v>40000000</v>
      </c>
      <c r="I332">
        <v>5.7453000000000001E-3</v>
      </c>
    </row>
    <row r="333" spans="1:9" x14ac:dyDescent="0.25">
      <c r="A333" t="s">
        <v>333</v>
      </c>
      <c r="B333" t="s">
        <v>161</v>
      </c>
      <c r="C333">
        <v>1997</v>
      </c>
      <c r="D333" s="130">
        <v>10.9</v>
      </c>
      <c r="E333" s="130">
        <v>0.29999920000000002</v>
      </c>
      <c r="F333" s="130">
        <v>33608.5</v>
      </c>
      <c r="G333" s="130">
        <v>1.5760400000000001E-2</v>
      </c>
      <c r="H333" s="16">
        <v>40000000</v>
      </c>
      <c r="I333">
        <v>6.7878000000000001E-3</v>
      </c>
    </row>
    <row r="334" spans="1:9" x14ac:dyDescent="0.25">
      <c r="A334" t="s">
        <v>333</v>
      </c>
      <c r="B334" t="s">
        <v>161</v>
      </c>
      <c r="C334">
        <v>1998</v>
      </c>
      <c r="D334" s="130">
        <v>11</v>
      </c>
      <c r="E334" s="130">
        <v>0.1000004</v>
      </c>
      <c r="F334" s="130">
        <v>34229.1</v>
      </c>
      <c r="G334" s="130">
        <v>1.8296199999999999E-2</v>
      </c>
      <c r="H334" s="16">
        <v>41000000</v>
      </c>
      <c r="I334">
        <v>7.8565000000000006E-3</v>
      </c>
    </row>
    <row r="335" spans="1:9" x14ac:dyDescent="0.25">
      <c r="A335" t="s">
        <v>333</v>
      </c>
      <c r="B335" t="s">
        <v>161</v>
      </c>
      <c r="C335">
        <v>1999</v>
      </c>
      <c r="D335" s="130">
        <v>10.8</v>
      </c>
      <c r="E335" s="130">
        <v>-0.19999980000000001</v>
      </c>
      <c r="F335" s="130">
        <v>34847</v>
      </c>
      <c r="G335" s="130">
        <v>1.7890900000000001E-2</v>
      </c>
      <c r="H335" s="16">
        <v>40000000</v>
      </c>
      <c r="I335">
        <v>-4.1142000000000001E-3</v>
      </c>
    </row>
    <row r="336" spans="1:9" x14ac:dyDescent="0.25">
      <c r="A336" t="s">
        <v>333</v>
      </c>
      <c r="B336" t="s">
        <v>161</v>
      </c>
      <c r="C336">
        <v>2000</v>
      </c>
      <c r="D336" s="130">
        <v>10.9</v>
      </c>
      <c r="E336" s="130">
        <v>9.9999400000000002E-2</v>
      </c>
      <c r="F336" s="130">
        <v>35863.9</v>
      </c>
      <c r="G336" s="130">
        <v>2.8764700000000001E-2</v>
      </c>
      <c r="H336" s="16">
        <v>40000000</v>
      </c>
      <c r="I336">
        <v>-1.2472E-3</v>
      </c>
    </row>
    <row r="337" spans="1:9" x14ac:dyDescent="0.25">
      <c r="A337" t="s">
        <v>333</v>
      </c>
      <c r="B337" t="s">
        <v>161</v>
      </c>
      <c r="C337">
        <v>2001</v>
      </c>
      <c r="D337" s="130">
        <v>11.1</v>
      </c>
      <c r="E337" s="130">
        <v>0.20000080000000001</v>
      </c>
      <c r="F337" s="130">
        <v>36345.800000000003</v>
      </c>
      <c r="G337" s="130">
        <v>1.3347599999999999E-2</v>
      </c>
      <c r="H337" s="16">
        <v>40000000</v>
      </c>
      <c r="I337">
        <v>4.9417999999999997E-3</v>
      </c>
    </row>
    <row r="338" spans="1:9" x14ac:dyDescent="0.25">
      <c r="A338" t="s">
        <v>333</v>
      </c>
      <c r="B338" t="s">
        <v>161</v>
      </c>
      <c r="C338">
        <v>2002</v>
      </c>
      <c r="D338" s="130">
        <v>11.1</v>
      </c>
      <c r="E338" s="130">
        <v>0</v>
      </c>
      <c r="F338" s="130">
        <v>36288.400000000001</v>
      </c>
      <c r="G338" s="130">
        <v>-1.5793000000000001E-3</v>
      </c>
      <c r="H338" s="16">
        <v>40000000</v>
      </c>
      <c r="I338">
        <v>-4.417E-4</v>
      </c>
    </row>
    <row r="339" spans="1:9" x14ac:dyDescent="0.25">
      <c r="A339" t="s">
        <v>333</v>
      </c>
      <c r="B339" t="s">
        <v>161</v>
      </c>
      <c r="C339">
        <v>2003</v>
      </c>
      <c r="D339" s="130">
        <v>11.4</v>
      </c>
      <c r="E339" s="130">
        <v>0.29999920000000002</v>
      </c>
      <c r="F339" s="130">
        <v>36132.199999999997</v>
      </c>
      <c r="G339" s="130">
        <v>-4.3153999999999996E-3</v>
      </c>
      <c r="H339" s="16">
        <v>40000000</v>
      </c>
      <c r="I339">
        <v>-5.3876999999999996E-3</v>
      </c>
    </row>
    <row r="340" spans="1:9" x14ac:dyDescent="0.25">
      <c r="A340" t="s">
        <v>333</v>
      </c>
      <c r="B340" t="s">
        <v>161</v>
      </c>
      <c r="C340">
        <v>2004</v>
      </c>
      <c r="D340" s="130">
        <v>12.1</v>
      </c>
      <c r="E340" s="130">
        <v>0.70000079999999998</v>
      </c>
      <c r="F340" s="130">
        <v>36559.699999999997</v>
      </c>
      <c r="G340" s="130">
        <v>1.17617E-2</v>
      </c>
      <c r="H340" s="16">
        <v>41000000</v>
      </c>
      <c r="I340">
        <v>1.25498E-2</v>
      </c>
    </row>
    <row r="341" spans="1:9" x14ac:dyDescent="0.25">
      <c r="A341" t="s">
        <v>333</v>
      </c>
      <c r="B341" t="s">
        <v>161</v>
      </c>
      <c r="C341">
        <v>2005</v>
      </c>
      <c r="D341" s="130">
        <v>12.4</v>
      </c>
      <c r="E341" s="130">
        <v>0.29999920000000002</v>
      </c>
      <c r="F341" s="130">
        <v>36830.9</v>
      </c>
      <c r="G341" s="130">
        <v>7.391E-3</v>
      </c>
      <c r="H341" s="16">
        <v>41000000</v>
      </c>
      <c r="I341">
        <v>1.38958E-2</v>
      </c>
    </row>
    <row r="342" spans="1:9" x14ac:dyDescent="0.25">
      <c r="A342" t="s">
        <v>333</v>
      </c>
      <c r="B342" t="s">
        <v>161</v>
      </c>
      <c r="C342">
        <v>2006</v>
      </c>
      <c r="D342" s="130">
        <v>12.1</v>
      </c>
      <c r="E342" s="130">
        <v>-0.29999920000000002</v>
      </c>
      <c r="F342" s="130">
        <v>38236.699999999997</v>
      </c>
      <c r="G342" s="130">
        <v>3.7459399999999997E-2</v>
      </c>
      <c r="H342" s="16">
        <v>42000000</v>
      </c>
      <c r="I342">
        <v>9.2349000000000007E-3</v>
      </c>
    </row>
    <row r="343" spans="1:9" x14ac:dyDescent="0.25">
      <c r="A343" t="s">
        <v>333</v>
      </c>
      <c r="B343" t="s">
        <v>161</v>
      </c>
      <c r="C343">
        <v>2007</v>
      </c>
      <c r="D343" s="130">
        <v>12</v>
      </c>
      <c r="E343" s="130">
        <v>-0.1000004</v>
      </c>
      <c r="F343" s="130">
        <v>39539.599999999999</v>
      </c>
      <c r="G343" s="130">
        <v>3.35045E-2</v>
      </c>
      <c r="H343" s="16">
        <v>42000000</v>
      </c>
      <c r="I343">
        <v>6.8282000000000004E-3</v>
      </c>
    </row>
    <row r="344" spans="1:9" x14ac:dyDescent="0.25">
      <c r="A344" t="s">
        <v>333</v>
      </c>
      <c r="B344" t="s">
        <v>161</v>
      </c>
      <c r="C344">
        <v>2008</v>
      </c>
      <c r="D344" s="130">
        <v>11.7</v>
      </c>
      <c r="E344" s="130">
        <v>-0.30000019999999999</v>
      </c>
      <c r="F344" s="130">
        <v>40043.9</v>
      </c>
      <c r="G344" s="130">
        <v>1.26753E-2</v>
      </c>
      <c r="H344" s="16">
        <v>42000000</v>
      </c>
      <c r="I344">
        <v>2.1223000000000001E-3</v>
      </c>
    </row>
    <row r="345" spans="1:9" x14ac:dyDescent="0.25">
      <c r="A345" t="s">
        <v>333</v>
      </c>
      <c r="B345" t="s">
        <v>161</v>
      </c>
      <c r="C345">
        <v>2009</v>
      </c>
      <c r="D345" s="130">
        <v>11.6</v>
      </c>
      <c r="E345" s="130">
        <v>-9.9999400000000002E-2</v>
      </c>
      <c r="F345" s="130">
        <v>38079.800000000003</v>
      </c>
      <c r="G345" s="130">
        <v>-5.0292000000000003E-2</v>
      </c>
      <c r="H345" s="16">
        <v>42000000</v>
      </c>
      <c r="I345">
        <v>1.1766000000000001E-3</v>
      </c>
    </row>
    <row r="346" spans="1:9" x14ac:dyDescent="0.25">
      <c r="A346" t="s">
        <v>333</v>
      </c>
      <c r="B346" t="s">
        <v>161</v>
      </c>
      <c r="C346">
        <v>2010</v>
      </c>
      <c r="D346" s="130">
        <v>11.6</v>
      </c>
      <c r="E346" s="130">
        <v>0</v>
      </c>
      <c r="F346" s="130">
        <v>39668.5</v>
      </c>
      <c r="G346" s="130">
        <v>4.0872600000000002E-2</v>
      </c>
      <c r="H346" s="16">
        <v>42000000</v>
      </c>
      <c r="I346">
        <v>1.9880000000000001E-4</v>
      </c>
    </row>
    <row r="347" spans="1:9" x14ac:dyDescent="0.25">
      <c r="A347" t="s">
        <v>333</v>
      </c>
      <c r="B347" t="s">
        <v>161</v>
      </c>
      <c r="C347">
        <v>2011</v>
      </c>
      <c r="D347" s="130">
        <v>11.7</v>
      </c>
      <c r="E347" s="130">
        <v>9.9999400000000002E-2</v>
      </c>
      <c r="F347" s="130">
        <v>40980.400000000001</v>
      </c>
      <c r="G347" s="130">
        <v>3.2536500000000003E-2</v>
      </c>
      <c r="H347" s="16">
        <v>42000000</v>
      </c>
      <c r="I347">
        <v>1.3419E-2</v>
      </c>
    </row>
    <row r="348" spans="1:9" x14ac:dyDescent="0.25">
      <c r="A348" t="s">
        <v>333</v>
      </c>
      <c r="B348" t="s">
        <v>161</v>
      </c>
      <c r="C348">
        <v>2012</v>
      </c>
      <c r="D348" s="130">
        <v>11.6</v>
      </c>
      <c r="E348" s="130">
        <v>-9.9999400000000002E-2</v>
      </c>
      <c r="F348" s="130">
        <v>41966.400000000001</v>
      </c>
      <c r="G348" s="130">
        <v>2.3776100000000001E-2</v>
      </c>
      <c r="H348" s="16">
        <v>42000000</v>
      </c>
      <c r="I348">
        <v>-1.9535500000000001E-2</v>
      </c>
    </row>
    <row r="349" spans="1:9" x14ac:dyDescent="0.25">
      <c r="A349" t="s">
        <v>333</v>
      </c>
      <c r="B349" t="s">
        <v>161</v>
      </c>
      <c r="C349">
        <v>2013</v>
      </c>
    </row>
    <row r="350" spans="1:9" x14ac:dyDescent="0.25">
      <c r="A350" t="s">
        <v>314</v>
      </c>
      <c r="B350" t="s">
        <v>171</v>
      </c>
      <c r="C350">
        <v>1990</v>
      </c>
      <c r="D350" s="130">
        <v>11.4</v>
      </c>
      <c r="F350" s="130">
        <v>32716.7</v>
      </c>
      <c r="H350" s="16">
        <v>2900000</v>
      </c>
    </row>
    <row r="351" spans="1:9" x14ac:dyDescent="0.25">
      <c r="A351" t="s">
        <v>314</v>
      </c>
      <c r="B351" t="s">
        <v>171</v>
      </c>
      <c r="C351">
        <v>1991</v>
      </c>
      <c r="D351" s="130">
        <v>10.8</v>
      </c>
      <c r="E351" s="130">
        <v>-0.59999939999999996</v>
      </c>
      <c r="F351" s="130">
        <v>33056.199999999997</v>
      </c>
      <c r="G351" s="130">
        <v>1.03245E-2</v>
      </c>
      <c r="H351" s="16">
        <v>2900000</v>
      </c>
      <c r="I351">
        <v>-1.0824000000000001E-3</v>
      </c>
    </row>
    <row r="352" spans="1:9" x14ac:dyDescent="0.25">
      <c r="A352" t="s">
        <v>314</v>
      </c>
      <c r="B352" t="s">
        <v>171</v>
      </c>
      <c r="C352">
        <v>1992</v>
      </c>
      <c r="D352" s="130">
        <v>10.7</v>
      </c>
      <c r="E352" s="130">
        <v>-0.1000004</v>
      </c>
      <c r="F352" s="130">
        <v>33598</v>
      </c>
      <c r="G352" s="130">
        <v>1.62554E-2</v>
      </c>
      <c r="H352" s="16">
        <v>2900000</v>
      </c>
      <c r="I352">
        <v>3.1391000000000001E-3</v>
      </c>
    </row>
    <row r="353" spans="1:9" x14ac:dyDescent="0.25">
      <c r="A353" t="s">
        <v>314</v>
      </c>
      <c r="B353" t="s">
        <v>171</v>
      </c>
      <c r="C353">
        <v>1993</v>
      </c>
      <c r="D353" s="130">
        <v>10.8</v>
      </c>
      <c r="E353" s="130">
        <v>0.1000004</v>
      </c>
      <c r="F353" s="130">
        <v>33456.199999999997</v>
      </c>
      <c r="G353" s="130">
        <v>-4.2275999999999998E-3</v>
      </c>
      <c r="H353" s="16">
        <v>2900000</v>
      </c>
      <c r="I353">
        <v>-7.9542999999999992E-3</v>
      </c>
    </row>
    <row r="354" spans="1:9" x14ac:dyDescent="0.25">
      <c r="A354" t="s">
        <v>314</v>
      </c>
      <c r="B354" t="s">
        <v>171</v>
      </c>
      <c r="C354">
        <v>1994</v>
      </c>
      <c r="D354" s="130">
        <v>9.8000001999999995</v>
      </c>
      <c r="E354" s="130">
        <v>-1</v>
      </c>
      <c r="F354" s="130">
        <v>35185.800000000003</v>
      </c>
      <c r="G354" s="130">
        <v>5.0404499999999998E-2</v>
      </c>
      <c r="H354" s="16">
        <v>2800000</v>
      </c>
      <c r="I354">
        <v>-3.9656200000000003E-2</v>
      </c>
    </row>
    <row r="355" spans="1:9" x14ac:dyDescent="0.25">
      <c r="A355" t="s">
        <v>314</v>
      </c>
      <c r="B355" t="s">
        <v>171</v>
      </c>
      <c r="C355">
        <v>1995</v>
      </c>
      <c r="D355" s="130">
        <v>9.5</v>
      </c>
      <c r="E355" s="130">
        <v>-0.30000019999999999</v>
      </c>
      <c r="F355" s="130">
        <v>36075.800000000003</v>
      </c>
      <c r="G355" s="130">
        <v>2.49815E-2</v>
      </c>
      <c r="H355" s="16">
        <v>2800000</v>
      </c>
      <c r="I355">
        <v>1.4867399999999999E-2</v>
      </c>
    </row>
    <row r="356" spans="1:9" x14ac:dyDescent="0.25">
      <c r="A356" t="s">
        <v>314</v>
      </c>
      <c r="B356" t="s">
        <v>171</v>
      </c>
      <c r="C356">
        <v>1996</v>
      </c>
      <c r="D356" s="130">
        <v>9.3000001999999995</v>
      </c>
      <c r="E356" s="130">
        <v>-0.19999980000000001</v>
      </c>
      <c r="F356" s="130">
        <v>36889.1</v>
      </c>
      <c r="G356" s="130">
        <v>2.2292099999999999E-2</v>
      </c>
      <c r="H356" s="16">
        <v>2800000</v>
      </c>
      <c r="I356">
        <v>4.5288000000000004E-3</v>
      </c>
    </row>
    <row r="357" spans="1:9" x14ac:dyDescent="0.25">
      <c r="A357" t="s">
        <v>314</v>
      </c>
      <c r="B357" t="s">
        <v>171</v>
      </c>
      <c r="C357">
        <v>1997</v>
      </c>
      <c r="D357" s="130">
        <v>9.3999995999999992</v>
      </c>
      <c r="E357" s="130">
        <v>9.9999400000000002E-2</v>
      </c>
      <c r="F357" s="130">
        <v>37911.1</v>
      </c>
      <c r="G357" s="130">
        <v>2.7327500000000001E-2</v>
      </c>
      <c r="H357" s="16">
        <v>2900000</v>
      </c>
      <c r="I357">
        <v>7.2031999999999999E-3</v>
      </c>
    </row>
    <row r="358" spans="1:9" x14ac:dyDescent="0.25">
      <c r="A358" t="s">
        <v>314</v>
      </c>
      <c r="B358" t="s">
        <v>171</v>
      </c>
      <c r="C358">
        <v>1998</v>
      </c>
      <c r="D358" s="130">
        <v>9.6999998000000005</v>
      </c>
      <c r="E358" s="130">
        <v>0.30000019999999999</v>
      </c>
      <c r="F358" s="130">
        <v>38589.699999999997</v>
      </c>
      <c r="G358" s="130">
        <v>1.7743100000000001E-2</v>
      </c>
      <c r="H358" s="16">
        <v>2800000</v>
      </c>
      <c r="I358">
        <v>-3.8421000000000002E-3</v>
      </c>
    </row>
    <row r="359" spans="1:9" x14ac:dyDescent="0.25">
      <c r="A359" t="s">
        <v>314</v>
      </c>
      <c r="B359" t="s">
        <v>171</v>
      </c>
      <c r="C359">
        <v>1999</v>
      </c>
      <c r="D359" s="130">
        <v>9.3000001999999995</v>
      </c>
      <c r="E359" s="130">
        <v>-0.39999960000000001</v>
      </c>
      <c r="F359" s="130">
        <v>39447.1</v>
      </c>
      <c r="G359" s="130">
        <v>2.1973599999999999E-2</v>
      </c>
      <c r="H359" s="16">
        <v>2900000</v>
      </c>
      <c r="I359">
        <v>1.0971399999999999E-2</v>
      </c>
    </row>
    <row r="360" spans="1:9" x14ac:dyDescent="0.25">
      <c r="A360" t="s">
        <v>314</v>
      </c>
      <c r="B360" t="s">
        <v>171</v>
      </c>
      <c r="C360">
        <v>2000</v>
      </c>
      <c r="D360" s="130">
        <v>9.1000004000000008</v>
      </c>
      <c r="E360" s="130">
        <v>-0.19999980000000001</v>
      </c>
      <c r="F360" s="130">
        <v>40702.699999999997</v>
      </c>
      <c r="G360" s="130">
        <v>3.1335799999999997E-2</v>
      </c>
      <c r="H360" s="16">
        <v>2900000</v>
      </c>
      <c r="I360">
        <v>-4.9731999999999997E-3</v>
      </c>
    </row>
    <row r="361" spans="1:9" x14ac:dyDescent="0.25">
      <c r="A361" t="s">
        <v>314</v>
      </c>
      <c r="B361" t="s">
        <v>171</v>
      </c>
      <c r="C361">
        <v>2001</v>
      </c>
      <c r="D361" s="130">
        <v>8.8999995999999992</v>
      </c>
      <c r="E361" s="130">
        <v>-0.20000080000000001</v>
      </c>
      <c r="F361" s="130">
        <v>40843</v>
      </c>
      <c r="G361" s="130">
        <v>3.4399000000000001E-3</v>
      </c>
      <c r="H361" s="16">
        <v>2900000</v>
      </c>
      <c r="I361">
        <v>-4.2300999999999997E-3</v>
      </c>
    </row>
    <row r="362" spans="1:9" x14ac:dyDescent="0.25">
      <c r="A362" t="s">
        <v>314</v>
      </c>
      <c r="B362" t="s">
        <v>171</v>
      </c>
      <c r="C362">
        <v>2002</v>
      </c>
      <c r="D362" s="130">
        <v>8.8999995999999992</v>
      </c>
      <c r="E362" s="130">
        <v>0</v>
      </c>
      <c r="F362" s="130">
        <v>40902.400000000001</v>
      </c>
      <c r="G362" s="130">
        <v>1.4534000000000001E-3</v>
      </c>
      <c r="H362" s="16">
        <v>2900000</v>
      </c>
      <c r="I362">
        <v>9.3913999999999994E-3</v>
      </c>
    </row>
    <row r="363" spans="1:9" x14ac:dyDescent="0.25">
      <c r="A363" t="s">
        <v>314</v>
      </c>
      <c r="B363" t="s">
        <v>171</v>
      </c>
      <c r="C363">
        <v>2003</v>
      </c>
      <c r="D363" s="130">
        <v>9.1000004000000008</v>
      </c>
      <c r="E363" s="130">
        <v>0.20000080000000001</v>
      </c>
      <c r="F363" s="130">
        <v>40947.9</v>
      </c>
      <c r="G363" s="130">
        <v>1.1100999999999999E-3</v>
      </c>
      <c r="H363" s="16">
        <v>2900000</v>
      </c>
      <c r="I363">
        <v>-2.4913000000000001E-3</v>
      </c>
    </row>
    <row r="364" spans="1:9" x14ac:dyDescent="0.25">
      <c r="A364" t="s">
        <v>314</v>
      </c>
      <c r="B364" t="s">
        <v>171</v>
      </c>
      <c r="C364">
        <v>2004</v>
      </c>
      <c r="D364" s="130">
        <v>8.8000001999999995</v>
      </c>
      <c r="E364" s="130">
        <v>-0.30000019999999999</v>
      </c>
      <c r="F364" s="130">
        <v>41780.1</v>
      </c>
      <c r="G364" s="130">
        <v>2.01216E-2</v>
      </c>
      <c r="H364" s="16">
        <v>2900000</v>
      </c>
      <c r="I364">
        <v>1.1524400000000001E-2</v>
      </c>
    </row>
    <row r="365" spans="1:9" x14ac:dyDescent="0.25">
      <c r="A365" t="s">
        <v>314</v>
      </c>
      <c r="B365" t="s">
        <v>171</v>
      </c>
      <c r="C365">
        <v>2005</v>
      </c>
      <c r="D365" s="130">
        <v>8.8999995999999992</v>
      </c>
      <c r="E365" s="130">
        <v>9.9999400000000002E-2</v>
      </c>
      <c r="F365" s="130">
        <v>42683.9</v>
      </c>
      <c r="G365" s="130">
        <v>2.1402399999999999E-2</v>
      </c>
      <c r="H365" s="16">
        <v>2900000</v>
      </c>
      <c r="I365">
        <v>-1.2432999999999999E-3</v>
      </c>
    </row>
    <row r="366" spans="1:9" x14ac:dyDescent="0.25">
      <c r="A366" t="s">
        <v>314</v>
      </c>
      <c r="B366" t="s">
        <v>171</v>
      </c>
      <c r="C366">
        <v>2006</v>
      </c>
      <c r="D366" s="130">
        <v>9.1000004000000008</v>
      </c>
      <c r="E366" s="130">
        <v>0.20000080000000001</v>
      </c>
      <c r="F366" s="130">
        <v>43988.1</v>
      </c>
      <c r="G366" s="130">
        <v>3.0096999999999999E-2</v>
      </c>
      <c r="H366" s="16">
        <v>2900000</v>
      </c>
      <c r="I366">
        <v>1.05352E-2</v>
      </c>
    </row>
    <row r="367" spans="1:9" x14ac:dyDescent="0.25">
      <c r="A367" t="s">
        <v>314</v>
      </c>
      <c r="B367" t="s">
        <v>171</v>
      </c>
      <c r="C367">
        <v>2007</v>
      </c>
      <c r="D367" s="130">
        <v>9</v>
      </c>
      <c r="E367" s="130">
        <v>-0.1000004</v>
      </c>
      <c r="F367" s="130">
        <v>44486.9</v>
      </c>
      <c r="G367" s="130">
        <v>1.1274299999999999E-2</v>
      </c>
      <c r="H367" s="16">
        <v>2900000</v>
      </c>
      <c r="I367">
        <v>1.5249999999999999E-4</v>
      </c>
    </row>
    <row r="368" spans="1:9" x14ac:dyDescent="0.25">
      <c r="A368" t="s">
        <v>314</v>
      </c>
      <c r="B368" t="s">
        <v>171</v>
      </c>
      <c r="C368">
        <v>2008</v>
      </c>
      <c r="D368" s="130">
        <v>8.8000001999999995</v>
      </c>
      <c r="E368" s="130">
        <v>-0.19999980000000001</v>
      </c>
      <c r="F368" s="130">
        <v>43879.6</v>
      </c>
      <c r="G368" s="130">
        <v>-1.37453E-2</v>
      </c>
      <c r="H368" s="16">
        <v>3000000</v>
      </c>
      <c r="I368">
        <v>1.1184100000000001E-2</v>
      </c>
    </row>
    <row r="369" spans="1:9" x14ac:dyDescent="0.25">
      <c r="A369" t="s">
        <v>314</v>
      </c>
      <c r="B369" t="s">
        <v>171</v>
      </c>
      <c r="C369">
        <v>2009</v>
      </c>
      <c r="D369" s="130">
        <v>9.3000001999999995</v>
      </c>
      <c r="E369" s="130">
        <v>0.5</v>
      </c>
      <c r="F369" s="130">
        <v>41172.300000000003</v>
      </c>
      <c r="G369" s="130">
        <v>-6.3682600000000006E-2</v>
      </c>
      <c r="H369" s="16">
        <v>3000000</v>
      </c>
      <c r="I369">
        <v>-4.6627999999999999E-3</v>
      </c>
    </row>
    <row r="370" spans="1:9" x14ac:dyDescent="0.25">
      <c r="A370" t="s">
        <v>314</v>
      </c>
      <c r="B370" t="s">
        <v>171</v>
      </c>
      <c r="C370">
        <v>2010</v>
      </c>
      <c r="D370" s="130">
        <v>9.1000004000000008</v>
      </c>
      <c r="E370" s="130">
        <v>-0.19999980000000001</v>
      </c>
      <c r="F370" s="130">
        <v>41558.300000000003</v>
      </c>
      <c r="G370" s="130">
        <v>9.3317000000000001E-3</v>
      </c>
      <c r="H370" s="16">
        <v>2900000</v>
      </c>
      <c r="I370">
        <v>-7.3870000000000003E-3</v>
      </c>
    </row>
    <row r="371" spans="1:9" x14ac:dyDescent="0.25">
      <c r="A371" t="s">
        <v>314</v>
      </c>
      <c r="B371" t="s">
        <v>171</v>
      </c>
      <c r="C371">
        <v>2011</v>
      </c>
      <c r="D371" s="130">
        <v>9.1000004000000008</v>
      </c>
      <c r="E371" s="130">
        <v>0</v>
      </c>
      <c r="F371" s="130">
        <v>41830.9</v>
      </c>
      <c r="G371" s="130">
        <v>6.5383999999999998E-3</v>
      </c>
      <c r="H371" s="16">
        <v>2900000</v>
      </c>
      <c r="I371">
        <v>-1.7809999999999999E-4</v>
      </c>
    </row>
    <row r="372" spans="1:9" x14ac:dyDescent="0.25">
      <c r="A372" t="s">
        <v>314</v>
      </c>
      <c r="B372" t="s">
        <v>171</v>
      </c>
      <c r="C372">
        <v>2012</v>
      </c>
      <c r="D372" s="130">
        <v>9.1000004000000008</v>
      </c>
      <c r="E372" s="130">
        <v>0</v>
      </c>
      <c r="F372" s="130">
        <v>41524.300000000003</v>
      </c>
      <c r="G372" s="130">
        <v>-7.3565999999999996E-3</v>
      </c>
      <c r="H372" s="16">
        <v>2900000</v>
      </c>
      <c r="I372">
        <v>-5.4888000000000003E-3</v>
      </c>
    </row>
    <row r="373" spans="1:9" x14ac:dyDescent="0.25">
      <c r="A373" t="s">
        <v>314</v>
      </c>
      <c r="B373" t="s">
        <v>171</v>
      </c>
      <c r="C373">
        <v>2013</v>
      </c>
    </row>
    <row r="374" spans="1:9" x14ac:dyDescent="0.25">
      <c r="A374" t="s">
        <v>317</v>
      </c>
      <c r="B374" t="s">
        <v>119</v>
      </c>
      <c r="C374">
        <v>1991</v>
      </c>
      <c r="D374" s="130">
        <v>42.599997999999999</v>
      </c>
      <c r="F374" s="130">
        <v>4717.5</v>
      </c>
      <c r="H374" s="16">
        <v>2900000</v>
      </c>
    </row>
    <row r="375" spans="1:9" x14ac:dyDescent="0.25">
      <c r="A375" t="s">
        <v>317</v>
      </c>
      <c r="B375" t="s">
        <v>119</v>
      </c>
      <c r="C375">
        <v>1992</v>
      </c>
      <c r="D375" s="130">
        <v>44.299999</v>
      </c>
      <c r="E375" s="130">
        <v>1.7000010000000001</v>
      </c>
      <c r="F375" s="130">
        <v>5111.1099999999997</v>
      </c>
      <c r="G375" s="130">
        <v>8.0137299999999995E-2</v>
      </c>
      <c r="H375" s="16">
        <v>3000000</v>
      </c>
      <c r="I375">
        <v>2.0167000000000001E-2</v>
      </c>
    </row>
    <row r="376" spans="1:9" x14ac:dyDescent="0.25">
      <c r="A376" t="s">
        <v>317</v>
      </c>
      <c r="B376" t="s">
        <v>119</v>
      </c>
      <c r="C376">
        <v>1993</v>
      </c>
      <c r="D376" s="130">
        <v>42.299999</v>
      </c>
      <c r="E376" s="130">
        <v>-2</v>
      </c>
      <c r="F376" s="130">
        <v>5374.93</v>
      </c>
      <c r="G376" s="130">
        <v>5.0329199999999998E-2</v>
      </c>
      <c r="H376" s="16">
        <v>3100000</v>
      </c>
      <c r="I376">
        <v>2.3330500000000001E-2</v>
      </c>
    </row>
    <row r="377" spans="1:9" x14ac:dyDescent="0.25">
      <c r="A377" t="s">
        <v>317</v>
      </c>
      <c r="B377" t="s">
        <v>119</v>
      </c>
      <c r="C377">
        <v>1994</v>
      </c>
      <c r="D377" s="130">
        <v>39.799999</v>
      </c>
      <c r="E377" s="130">
        <v>-2.5</v>
      </c>
      <c r="F377" s="130">
        <v>5396.14</v>
      </c>
      <c r="G377" s="130">
        <v>3.9376999999999997E-3</v>
      </c>
      <c r="H377" s="16">
        <v>3100000</v>
      </c>
      <c r="I377">
        <v>2.51848E-2</v>
      </c>
    </row>
    <row r="378" spans="1:9" x14ac:dyDescent="0.25">
      <c r="A378" t="s">
        <v>317</v>
      </c>
      <c r="B378" t="s">
        <v>119</v>
      </c>
      <c r="C378">
        <v>1995</v>
      </c>
      <c r="D378" s="130">
        <v>41.700001</v>
      </c>
      <c r="E378" s="130">
        <v>1.900002</v>
      </c>
      <c r="F378" s="130">
        <v>5590.12</v>
      </c>
      <c r="G378" s="130">
        <v>3.5316500000000001E-2</v>
      </c>
      <c r="H378" s="16">
        <v>3200000</v>
      </c>
      <c r="I378">
        <v>2.5532800000000001E-2</v>
      </c>
    </row>
    <row r="379" spans="1:9" x14ac:dyDescent="0.25">
      <c r="A379" t="s">
        <v>317</v>
      </c>
      <c r="B379" t="s">
        <v>119</v>
      </c>
      <c r="C379">
        <v>1996</v>
      </c>
      <c r="D379" s="130">
        <v>44.900002000000001</v>
      </c>
      <c r="E379" s="130">
        <v>3.2000009999999999</v>
      </c>
      <c r="F379" s="130">
        <v>5885.05</v>
      </c>
      <c r="G379" s="130">
        <v>5.1414500000000002E-2</v>
      </c>
      <c r="H379" s="16">
        <v>3300000</v>
      </c>
      <c r="I379">
        <v>2.24215E-2</v>
      </c>
    </row>
    <row r="380" spans="1:9" x14ac:dyDescent="0.25">
      <c r="A380" t="s">
        <v>317</v>
      </c>
      <c r="B380" t="s">
        <v>119</v>
      </c>
      <c r="C380">
        <v>1997</v>
      </c>
      <c r="D380" s="130">
        <v>46.099997999999999</v>
      </c>
      <c r="E380" s="130">
        <v>1.199997</v>
      </c>
      <c r="F380" s="130">
        <v>6249.93</v>
      </c>
      <c r="G380" s="130">
        <v>6.0154899999999997E-2</v>
      </c>
      <c r="H380" s="16">
        <v>3400000</v>
      </c>
      <c r="I380">
        <v>2.4398300000000001E-2</v>
      </c>
    </row>
    <row r="381" spans="1:9" x14ac:dyDescent="0.25">
      <c r="A381" t="s">
        <v>317</v>
      </c>
      <c r="B381" t="s">
        <v>119</v>
      </c>
      <c r="C381">
        <v>1998</v>
      </c>
      <c r="D381" s="130">
        <v>46.799999</v>
      </c>
      <c r="E381" s="130">
        <v>0.70000079999999998</v>
      </c>
      <c r="F381" s="130">
        <v>6579.67</v>
      </c>
      <c r="G381" s="130">
        <v>5.14154E-2</v>
      </c>
      <c r="H381" s="16">
        <v>3400000</v>
      </c>
      <c r="I381">
        <v>2.2738600000000001E-2</v>
      </c>
    </row>
    <row r="382" spans="1:9" x14ac:dyDescent="0.25">
      <c r="A382" t="s">
        <v>317</v>
      </c>
      <c r="B382" t="s">
        <v>119</v>
      </c>
      <c r="C382">
        <v>1999</v>
      </c>
      <c r="D382" s="130">
        <v>48</v>
      </c>
      <c r="E382" s="130">
        <v>1.2000010000000001</v>
      </c>
      <c r="F382" s="130">
        <v>6910.08</v>
      </c>
      <c r="G382" s="130">
        <v>4.8995999999999998E-2</v>
      </c>
      <c r="H382" s="16">
        <v>3500000</v>
      </c>
      <c r="I382">
        <v>2.4570100000000001E-2</v>
      </c>
    </row>
    <row r="383" spans="1:9" x14ac:dyDescent="0.25">
      <c r="A383" t="s">
        <v>317</v>
      </c>
      <c r="B383" t="s">
        <v>119</v>
      </c>
      <c r="C383">
        <v>2000</v>
      </c>
      <c r="D383" s="130">
        <v>43.700001</v>
      </c>
      <c r="E383" s="130">
        <v>-4.2999989999999997</v>
      </c>
      <c r="F383" s="130">
        <v>7186.73</v>
      </c>
      <c r="G383" s="130">
        <v>3.9256100000000002E-2</v>
      </c>
      <c r="H383" s="16">
        <v>3600000</v>
      </c>
      <c r="I383">
        <v>2.45136E-2</v>
      </c>
    </row>
    <row r="384" spans="1:9" x14ac:dyDescent="0.25">
      <c r="A384" t="s">
        <v>317</v>
      </c>
      <c r="B384" t="s">
        <v>119</v>
      </c>
      <c r="C384">
        <v>2001</v>
      </c>
      <c r="D384" s="130">
        <v>45.099997999999999</v>
      </c>
      <c r="E384" s="130">
        <v>1.3999980000000001</v>
      </c>
      <c r="F384" s="130">
        <v>7203.77</v>
      </c>
      <c r="G384" s="130">
        <v>2.3679999999999999E-3</v>
      </c>
      <c r="H384" s="16">
        <v>3700000</v>
      </c>
      <c r="I384">
        <v>3.2224900000000001E-2</v>
      </c>
    </row>
    <row r="385" spans="1:9" x14ac:dyDescent="0.25">
      <c r="A385" t="s">
        <v>317</v>
      </c>
      <c r="B385" t="s">
        <v>119</v>
      </c>
      <c r="C385">
        <v>2002</v>
      </c>
      <c r="D385" s="130">
        <v>46.099997999999999</v>
      </c>
      <c r="E385" s="130">
        <v>1</v>
      </c>
      <c r="F385" s="130">
        <v>7504.78</v>
      </c>
      <c r="G385" s="130">
        <v>4.09355E-2</v>
      </c>
      <c r="H385" s="16">
        <v>3800000</v>
      </c>
      <c r="I385">
        <v>3.24686E-2</v>
      </c>
    </row>
    <row r="386" spans="1:9" x14ac:dyDescent="0.25">
      <c r="A386" t="s">
        <v>317</v>
      </c>
      <c r="B386" t="s">
        <v>119</v>
      </c>
      <c r="C386">
        <v>2003</v>
      </c>
      <c r="D386" s="130">
        <v>45.900002000000001</v>
      </c>
      <c r="E386" s="130">
        <v>-0.19999690000000001</v>
      </c>
      <c r="F386" s="130">
        <v>7373.49</v>
      </c>
      <c r="G386" s="130">
        <v>-1.7649700000000001E-2</v>
      </c>
      <c r="H386" s="16">
        <v>3900000</v>
      </c>
      <c r="I386">
        <v>3.2813799999999997E-2</v>
      </c>
    </row>
    <row r="387" spans="1:9" x14ac:dyDescent="0.25">
      <c r="A387" t="s">
        <v>317</v>
      </c>
      <c r="B387" t="s">
        <v>119</v>
      </c>
      <c r="C387">
        <v>2004</v>
      </c>
      <c r="D387" s="130">
        <v>44.900002000000001</v>
      </c>
      <c r="E387" s="130">
        <v>-1</v>
      </c>
      <c r="F387" s="130">
        <v>7359.83</v>
      </c>
      <c r="G387" s="130">
        <v>-1.8538999999999999E-3</v>
      </c>
      <c r="H387" s="16">
        <v>4000000</v>
      </c>
      <c r="I387">
        <v>3.3318399999999998E-2</v>
      </c>
    </row>
    <row r="388" spans="1:9" x14ac:dyDescent="0.25">
      <c r="A388" t="s">
        <v>317</v>
      </c>
      <c r="B388" t="s">
        <v>119</v>
      </c>
      <c r="C388">
        <v>2005</v>
      </c>
      <c r="D388" s="130">
        <v>47.299999</v>
      </c>
      <c r="E388" s="130">
        <v>2.3999980000000001</v>
      </c>
      <c r="F388" s="130">
        <v>7924.53</v>
      </c>
      <c r="G388" s="130">
        <v>7.3925000000000005E-2</v>
      </c>
      <c r="H388" s="16">
        <v>4000000</v>
      </c>
      <c r="I388">
        <v>3.1795299999999999E-2</v>
      </c>
    </row>
    <row r="389" spans="1:9" x14ac:dyDescent="0.25">
      <c r="A389" t="s">
        <v>317</v>
      </c>
      <c r="B389" t="s">
        <v>119</v>
      </c>
      <c r="C389">
        <v>2006</v>
      </c>
      <c r="D389" s="130">
        <v>46.900002000000001</v>
      </c>
      <c r="E389" s="130">
        <v>-0.39999770000000001</v>
      </c>
      <c r="F389" s="130">
        <v>8644.42</v>
      </c>
      <c r="G389" s="130">
        <v>8.6952199999999993E-2</v>
      </c>
      <c r="H389" s="16">
        <v>4100000</v>
      </c>
      <c r="I389">
        <v>3.2371299999999999E-2</v>
      </c>
    </row>
    <row r="390" spans="1:9" x14ac:dyDescent="0.25">
      <c r="A390" t="s">
        <v>317</v>
      </c>
      <c r="B390" t="s">
        <v>119</v>
      </c>
      <c r="C390">
        <v>2007</v>
      </c>
      <c r="D390" s="130">
        <v>46.400002000000001</v>
      </c>
      <c r="E390" s="130">
        <v>-0.5</v>
      </c>
      <c r="F390" s="130">
        <v>9244.6200000000008</v>
      </c>
      <c r="G390" s="130">
        <v>6.7127199999999998E-2</v>
      </c>
      <c r="H390" s="16">
        <v>4200000</v>
      </c>
      <c r="I390">
        <v>3.2858800000000001E-2</v>
      </c>
    </row>
    <row r="391" spans="1:9" x14ac:dyDescent="0.25">
      <c r="A391" t="s">
        <v>317</v>
      </c>
      <c r="B391" t="s">
        <v>119</v>
      </c>
      <c r="C391">
        <v>2008</v>
      </c>
      <c r="D391" s="130">
        <v>48.299999</v>
      </c>
      <c r="E391" s="130">
        <v>1.8999980000000001</v>
      </c>
      <c r="F391" s="130">
        <v>9595.58</v>
      </c>
      <c r="G391" s="130">
        <v>3.7261000000000002E-2</v>
      </c>
      <c r="H391" s="16">
        <v>4300000</v>
      </c>
      <c r="I391">
        <v>2.8604399999999999E-2</v>
      </c>
    </row>
    <row r="392" spans="1:9" x14ac:dyDescent="0.25">
      <c r="A392" t="s">
        <v>317</v>
      </c>
      <c r="B392" t="s">
        <v>119</v>
      </c>
      <c r="C392">
        <v>2009</v>
      </c>
      <c r="D392" s="130">
        <v>48.700001</v>
      </c>
      <c r="E392" s="130">
        <v>0.40000150000000001</v>
      </c>
      <c r="F392" s="130">
        <v>9792.3700000000008</v>
      </c>
      <c r="G392" s="130">
        <v>2.03009E-2</v>
      </c>
      <c r="H392" s="16">
        <v>4400000</v>
      </c>
      <c r="I392">
        <v>2.83705E-2</v>
      </c>
    </row>
    <row r="393" spans="1:9" x14ac:dyDescent="0.25">
      <c r="A393" t="s">
        <v>317</v>
      </c>
      <c r="B393" t="s">
        <v>119</v>
      </c>
      <c r="C393">
        <v>2010</v>
      </c>
      <c r="D393" s="130">
        <v>40.299999</v>
      </c>
      <c r="E393" s="130">
        <v>-8.4000020000000006</v>
      </c>
      <c r="F393" s="130">
        <v>10411.799999999999</v>
      </c>
      <c r="G393" s="130">
        <v>6.1335599999999997E-2</v>
      </c>
      <c r="H393" s="16">
        <v>4500000</v>
      </c>
      <c r="I393">
        <v>2.3227500000000002E-2</v>
      </c>
    </row>
    <row r="394" spans="1:9" x14ac:dyDescent="0.25">
      <c r="A394" t="s">
        <v>317</v>
      </c>
      <c r="B394" t="s">
        <v>119</v>
      </c>
      <c r="C394">
        <v>2011</v>
      </c>
      <c r="F394" s="130">
        <v>10738.3</v>
      </c>
      <c r="G394" s="130">
        <v>3.0879E-2</v>
      </c>
      <c r="H394" s="16">
        <v>4600000</v>
      </c>
      <c r="I394">
        <v>2.7271400000000001E-2</v>
      </c>
    </row>
    <row r="395" spans="1:9" x14ac:dyDescent="0.25">
      <c r="A395" t="s">
        <v>317</v>
      </c>
      <c r="B395" t="s">
        <v>119</v>
      </c>
      <c r="C395">
        <v>2012</v>
      </c>
      <c r="F395" s="130">
        <v>11015.7</v>
      </c>
      <c r="G395" s="130">
        <v>2.5506000000000001E-2</v>
      </c>
      <c r="H395" s="16">
        <v>4600000</v>
      </c>
      <c r="I395">
        <v>2.67891E-2</v>
      </c>
    </row>
    <row r="396" spans="1:9" x14ac:dyDescent="0.25">
      <c r="A396" t="s">
        <v>317</v>
      </c>
      <c r="B396" t="s">
        <v>119</v>
      </c>
      <c r="C396">
        <v>2013</v>
      </c>
    </row>
    <row r="397" spans="1:9" x14ac:dyDescent="0.25">
      <c r="A397" t="s">
        <v>318</v>
      </c>
      <c r="B397" t="s">
        <v>101</v>
      </c>
      <c r="C397">
        <v>1990</v>
      </c>
      <c r="D397" s="130">
        <v>41.099997999999999</v>
      </c>
      <c r="F397" s="130">
        <v>7346.16</v>
      </c>
      <c r="H397" s="16">
        <v>3900000</v>
      </c>
    </row>
    <row r="398" spans="1:9" x14ac:dyDescent="0.25">
      <c r="A398" t="s">
        <v>318</v>
      </c>
      <c r="B398" t="s">
        <v>101</v>
      </c>
      <c r="C398">
        <v>1991</v>
      </c>
      <c r="D398" s="130">
        <v>40.700001</v>
      </c>
      <c r="E398" s="130">
        <v>-0.39999770000000001</v>
      </c>
      <c r="F398" s="130">
        <v>7486.12</v>
      </c>
      <c r="G398" s="130">
        <v>1.88732E-2</v>
      </c>
      <c r="H398" s="16">
        <v>4000000</v>
      </c>
      <c r="I398">
        <v>3.6110299999999998E-2</v>
      </c>
    </row>
    <row r="399" spans="1:9" x14ac:dyDescent="0.25">
      <c r="A399" t="s">
        <v>318</v>
      </c>
      <c r="B399" t="s">
        <v>101</v>
      </c>
      <c r="C399">
        <v>1992</v>
      </c>
      <c r="D399" s="130">
        <v>44</v>
      </c>
      <c r="E399" s="130">
        <v>3.2999990000000001</v>
      </c>
      <c r="F399" s="130">
        <v>7473.07</v>
      </c>
      <c r="G399" s="130">
        <v>-1.7451999999999999E-3</v>
      </c>
      <c r="H399" s="16">
        <v>4200000</v>
      </c>
      <c r="I399">
        <v>4.0361899999999999E-2</v>
      </c>
    </row>
    <row r="400" spans="1:9" x14ac:dyDescent="0.25">
      <c r="A400" t="s">
        <v>318</v>
      </c>
      <c r="B400" t="s">
        <v>101</v>
      </c>
      <c r="C400">
        <v>1993</v>
      </c>
      <c r="D400" s="130">
        <v>43.299999</v>
      </c>
      <c r="E400" s="130">
        <v>-0.70000079999999998</v>
      </c>
      <c r="F400" s="130">
        <v>7453.04</v>
      </c>
      <c r="G400" s="130">
        <v>-2.6827000000000001E-3</v>
      </c>
      <c r="H400" s="16">
        <v>4300000</v>
      </c>
      <c r="I400">
        <v>4.1337800000000001E-2</v>
      </c>
    </row>
    <row r="401" spans="1:9" x14ac:dyDescent="0.25">
      <c r="A401" t="s">
        <v>318</v>
      </c>
      <c r="B401" t="s">
        <v>101</v>
      </c>
      <c r="C401">
        <v>1994</v>
      </c>
      <c r="D401" s="130">
        <v>42</v>
      </c>
      <c r="E401" s="130">
        <v>-1.2999989999999999</v>
      </c>
      <c r="F401" s="130">
        <v>7602.65</v>
      </c>
      <c r="G401" s="130">
        <v>1.9873600000000002E-2</v>
      </c>
      <c r="H401" s="16">
        <v>4500000</v>
      </c>
      <c r="I401">
        <v>3.8639300000000001E-2</v>
      </c>
    </row>
    <row r="402" spans="1:9" x14ac:dyDescent="0.25">
      <c r="A402" t="s">
        <v>318</v>
      </c>
      <c r="B402" t="s">
        <v>101</v>
      </c>
      <c r="C402">
        <v>1995</v>
      </c>
      <c r="D402" s="130">
        <v>41.900002000000001</v>
      </c>
      <c r="E402" s="130">
        <v>-9.9998500000000004E-2</v>
      </c>
      <c r="F402" s="130">
        <v>7608.78</v>
      </c>
      <c r="G402" s="130">
        <v>8.0679999999999999E-4</v>
      </c>
      <c r="H402" s="16">
        <v>4600000</v>
      </c>
      <c r="I402">
        <v>4.3093199999999998E-2</v>
      </c>
    </row>
    <row r="403" spans="1:9" x14ac:dyDescent="0.25">
      <c r="A403" t="s">
        <v>318</v>
      </c>
      <c r="B403" t="s">
        <v>101</v>
      </c>
      <c r="C403">
        <v>1996</v>
      </c>
      <c r="D403" s="130">
        <v>42.700001</v>
      </c>
      <c r="E403" s="130">
        <v>0.79999920000000002</v>
      </c>
      <c r="F403" s="130">
        <v>7578.9</v>
      </c>
      <c r="G403" s="130">
        <v>-3.9348999999999999E-3</v>
      </c>
      <c r="H403" s="16">
        <v>4800000</v>
      </c>
      <c r="I403">
        <v>4.0123499999999999E-2</v>
      </c>
    </row>
    <row r="404" spans="1:9" x14ac:dyDescent="0.25">
      <c r="A404" t="s">
        <v>318</v>
      </c>
      <c r="B404" t="s">
        <v>101</v>
      </c>
      <c r="C404">
        <v>1997</v>
      </c>
      <c r="D404" s="130">
        <v>40.799999</v>
      </c>
      <c r="E404" s="130">
        <v>-1.900002</v>
      </c>
      <c r="F404" s="130">
        <v>7744.64</v>
      </c>
      <c r="G404" s="130">
        <v>2.1633099999999999E-2</v>
      </c>
      <c r="H404" s="16">
        <v>4900000</v>
      </c>
      <c r="I404">
        <v>4.0803300000000001E-2</v>
      </c>
    </row>
    <row r="405" spans="1:9" x14ac:dyDescent="0.25">
      <c r="A405" t="s">
        <v>318</v>
      </c>
      <c r="B405" t="s">
        <v>101</v>
      </c>
      <c r="C405">
        <v>1998</v>
      </c>
      <c r="D405" s="130">
        <v>41.400002000000001</v>
      </c>
      <c r="E405" s="130">
        <v>0.60000229999999999</v>
      </c>
      <c r="F405" s="130">
        <v>7836.13</v>
      </c>
      <c r="G405" s="130">
        <v>1.17435E-2</v>
      </c>
      <c r="H405" s="16">
        <v>5100000</v>
      </c>
      <c r="I405">
        <v>4.3625400000000002E-2</v>
      </c>
    </row>
    <row r="406" spans="1:9" x14ac:dyDescent="0.25">
      <c r="A406" t="s">
        <v>318</v>
      </c>
      <c r="B406" t="s">
        <v>101</v>
      </c>
      <c r="C406">
        <v>1999</v>
      </c>
      <c r="D406" s="130">
        <v>40.700001</v>
      </c>
      <c r="E406" s="130">
        <v>-0.70000079999999998</v>
      </c>
      <c r="F406" s="130">
        <v>7316.18</v>
      </c>
      <c r="G406" s="130">
        <v>-6.8656900000000007E-2</v>
      </c>
      <c r="H406" s="16">
        <v>5300000</v>
      </c>
      <c r="I406">
        <v>5.0925600000000001E-2</v>
      </c>
    </row>
    <row r="407" spans="1:9" x14ac:dyDescent="0.25">
      <c r="A407" t="s">
        <v>318</v>
      </c>
      <c r="B407" t="s">
        <v>101</v>
      </c>
      <c r="C407">
        <v>2000</v>
      </c>
      <c r="D407" s="130">
        <v>46.700001</v>
      </c>
      <c r="E407" s="130">
        <v>6</v>
      </c>
      <c r="F407" s="130">
        <v>7250.84</v>
      </c>
      <c r="G407" s="130">
        <v>-8.9712000000000004E-3</v>
      </c>
      <c r="H407" s="16">
        <v>5500000</v>
      </c>
      <c r="I407">
        <v>4.6056699999999999E-2</v>
      </c>
    </row>
    <row r="408" spans="1:9" x14ac:dyDescent="0.25">
      <c r="A408" t="s">
        <v>318</v>
      </c>
      <c r="B408" t="s">
        <v>101</v>
      </c>
      <c r="C408">
        <v>2001</v>
      </c>
      <c r="D408" s="130">
        <v>49.5</v>
      </c>
      <c r="E408" s="130">
        <v>2.7999990000000001</v>
      </c>
      <c r="F408" s="130">
        <v>7395.79</v>
      </c>
      <c r="G408" s="130">
        <v>1.9793499999999999E-2</v>
      </c>
      <c r="H408" s="16">
        <v>6000000</v>
      </c>
      <c r="I408">
        <v>0.1389649</v>
      </c>
    </row>
    <row r="409" spans="1:9" x14ac:dyDescent="0.25">
      <c r="A409" t="s">
        <v>318</v>
      </c>
      <c r="B409" t="s">
        <v>101</v>
      </c>
      <c r="C409">
        <v>2002</v>
      </c>
      <c r="F409" s="130">
        <v>7551.55</v>
      </c>
      <c r="G409" s="130">
        <v>2.0842599999999999E-2</v>
      </c>
      <c r="H409" s="16">
        <v>6100000</v>
      </c>
      <c r="I409">
        <v>1.28199E-2</v>
      </c>
    </row>
    <row r="410" spans="1:9" x14ac:dyDescent="0.25">
      <c r="A410" t="s">
        <v>318</v>
      </c>
      <c r="B410" t="s">
        <v>101</v>
      </c>
      <c r="C410">
        <v>2003</v>
      </c>
      <c r="D410" s="130">
        <v>46</v>
      </c>
      <c r="F410" s="130">
        <v>7611.28</v>
      </c>
      <c r="G410" s="130">
        <v>7.8773000000000003E-3</v>
      </c>
      <c r="H410" s="16">
        <v>6100000</v>
      </c>
      <c r="I410">
        <v>9.6325000000000004E-3</v>
      </c>
    </row>
    <row r="411" spans="1:9" x14ac:dyDescent="0.25">
      <c r="A411" t="s">
        <v>318</v>
      </c>
      <c r="B411" t="s">
        <v>101</v>
      </c>
      <c r="C411">
        <v>2004</v>
      </c>
      <c r="D411" s="130">
        <v>50.200001</v>
      </c>
      <c r="E411" s="130">
        <v>4.2000010000000003</v>
      </c>
      <c r="F411" s="130">
        <v>8084.48</v>
      </c>
      <c r="G411" s="130">
        <v>6.0316099999999997E-2</v>
      </c>
      <c r="H411" s="16">
        <v>6400000</v>
      </c>
      <c r="I411">
        <v>8.5839399999999996E-2</v>
      </c>
    </row>
    <row r="412" spans="1:9" x14ac:dyDescent="0.25">
      <c r="A412" t="s">
        <v>318</v>
      </c>
      <c r="B412" t="s">
        <v>101</v>
      </c>
      <c r="C412">
        <v>2005</v>
      </c>
      <c r="D412" s="130">
        <v>47.700001</v>
      </c>
      <c r="E412" s="130">
        <v>-2.5</v>
      </c>
      <c r="F412" s="130">
        <v>8359</v>
      </c>
      <c r="G412" s="130">
        <v>3.3392900000000003E-2</v>
      </c>
      <c r="H412" s="16">
        <v>6500000</v>
      </c>
      <c r="I412">
        <v>1.34056E-2</v>
      </c>
    </row>
    <row r="413" spans="1:9" x14ac:dyDescent="0.25">
      <c r="A413" t="s">
        <v>318</v>
      </c>
      <c r="B413" t="s">
        <v>101</v>
      </c>
      <c r="C413">
        <v>2006</v>
      </c>
      <c r="D413" s="130">
        <v>48.200001</v>
      </c>
      <c r="E413" s="130">
        <v>0.5</v>
      </c>
      <c r="F413" s="130">
        <v>8573.77</v>
      </c>
      <c r="G413" s="130">
        <v>2.5368700000000001E-2</v>
      </c>
      <c r="H413" s="16">
        <v>6800000</v>
      </c>
      <c r="I413">
        <v>6.8603899999999995E-2</v>
      </c>
    </row>
    <row r="414" spans="1:9" x14ac:dyDescent="0.25">
      <c r="A414" t="s">
        <v>318</v>
      </c>
      <c r="B414" t="s">
        <v>101</v>
      </c>
      <c r="C414">
        <v>2007</v>
      </c>
      <c r="D414" s="130">
        <v>46.900002000000001</v>
      </c>
      <c r="E414" s="130">
        <v>-1.2999989999999999</v>
      </c>
      <c r="F414" s="130">
        <v>8611.16</v>
      </c>
      <c r="G414" s="130">
        <v>4.3515999999999997E-3</v>
      </c>
      <c r="H414" s="16">
        <v>6700000</v>
      </c>
      <c r="I414">
        <v>-1.32575E-2</v>
      </c>
    </row>
    <row r="415" spans="1:9" x14ac:dyDescent="0.25">
      <c r="A415" t="s">
        <v>318</v>
      </c>
      <c r="B415" t="s">
        <v>101</v>
      </c>
      <c r="C415">
        <v>2008</v>
      </c>
      <c r="D415" s="130">
        <v>45.099997999999999</v>
      </c>
      <c r="E415" s="130">
        <v>-1.800003</v>
      </c>
      <c r="F415" s="130">
        <v>9004.6</v>
      </c>
      <c r="G415" s="130">
        <v>4.4675800000000002E-2</v>
      </c>
      <c r="H415" s="16">
        <v>6700000</v>
      </c>
      <c r="I415">
        <v>1.01461E-2</v>
      </c>
    </row>
    <row r="416" spans="1:9" x14ac:dyDescent="0.25">
      <c r="A416" t="s">
        <v>318</v>
      </c>
      <c r="B416" t="s">
        <v>101</v>
      </c>
      <c r="C416">
        <v>2009</v>
      </c>
      <c r="D416" s="130">
        <v>46.599997999999999</v>
      </c>
      <c r="E416" s="130">
        <v>1.5</v>
      </c>
      <c r="F416" s="130">
        <v>8905.86</v>
      </c>
      <c r="G416" s="130">
        <v>-1.10264E-2</v>
      </c>
      <c r="H416" s="16">
        <v>6900000</v>
      </c>
      <c r="I416">
        <v>3.0163499999999999E-2</v>
      </c>
    </row>
    <row r="417" spans="1:9" x14ac:dyDescent="0.25">
      <c r="A417" t="s">
        <v>318</v>
      </c>
      <c r="B417" t="s">
        <v>101</v>
      </c>
      <c r="C417">
        <v>2010</v>
      </c>
      <c r="D417" s="130">
        <v>45.200001</v>
      </c>
      <c r="E417" s="130">
        <v>-1.3999980000000001</v>
      </c>
      <c r="F417" s="130">
        <v>9019.32</v>
      </c>
      <c r="G417" s="130">
        <v>1.2659999999999999E-2</v>
      </c>
      <c r="H417" s="16">
        <v>7000000</v>
      </c>
      <c r="I417">
        <v>4.8986099999999998E-2</v>
      </c>
    </row>
    <row r="418" spans="1:9" x14ac:dyDescent="0.25">
      <c r="A418" t="s">
        <v>318</v>
      </c>
      <c r="B418" t="s">
        <v>101</v>
      </c>
      <c r="C418">
        <v>2011</v>
      </c>
      <c r="D418" s="130">
        <v>47.400002000000001</v>
      </c>
      <c r="E418" s="130">
        <v>2.2000009999999999</v>
      </c>
      <c r="F418" s="130">
        <v>9569.4</v>
      </c>
      <c r="G418" s="130">
        <v>5.9202200000000003E-2</v>
      </c>
      <c r="H418" s="16">
        <v>7200000</v>
      </c>
      <c r="I418">
        <v>4.4325900000000001E-2</v>
      </c>
    </row>
    <row r="419" spans="1:9" x14ac:dyDescent="0.25">
      <c r="A419" t="s">
        <v>318</v>
      </c>
      <c r="B419" t="s">
        <v>101</v>
      </c>
      <c r="C419">
        <v>2012</v>
      </c>
      <c r="D419" s="130">
        <v>54.900002000000001</v>
      </c>
      <c r="E419" s="130">
        <v>7.5</v>
      </c>
      <c r="F419" s="130">
        <v>9900.08</v>
      </c>
      <c r="G419" s="130">
        <v>3.3970800000000002E-2</v>
      </c>
      <c r="H419" s="16">
        <v>7400000</v>
      </c>
      <c r="I419">
        <v>4.4868900000000003E-2</v>
      </c>
    </row>
    <row r="420" spans="1:9" x14ac:dyDescent="0.25">
      <c r="A420" t="s">
        <v>318</v>
      </c>
      <c r="B420" t="s">
        <v>101</v>
      </c>
      <c r="C420">
        <v>2013</v>
      </c>
    </row>
    <row r="421" spans="1:9" x14ac:dyDescent="0.25">
      <c r="A421" t="s">
        <v>320</v>
      </c>
      <c r="B421" t="s">
        <v>319</v>
      </c>
      <c r="C421">
        <v>1993</v>
      </c>
      <c r="D421" s="130">
        <v>44.200001</v>
      </c>
      <c r="F421" s="130">
        <v>6214.69</v>
      </c>
      <c r="H421" s="16">
        <v>17000000</v>
      </c>
    </row>
    <row r="422" spans="1:9" x14ac:dyDescent="0.25">
      <c r="A422" t="s">
        <v>320</v>
      </c>
      <c r="B422" t="s">
        <v>319</v>
      </c>
      <c r="C422">
        <v>1994</v>
      </c>
      <c r="D422" s="130">
        <v>43.599997999999999</v>
      </c>
      <c r="E422" s="130">
        <v>-0.60000229999999999</v>
      </c>
      <c r="F422" s="130">
        <v>6362.47</v>
      </c>
      <c r="G422" s="130">
        <v>2.3501399999999999E-2</v>
      </c>
      <c r="H422" s="16">
        <v>18000000</v>
      </c>
      <c r="I422">
        <v>4.17989E-2</v>
      </c>
    </row>
    <row r="423" spans="1:9" x14ac:dyDescent="0.25">
      <c r="A423" t="s">
        <v>320</v>
      </c>
      <c r="B423" t="s">
        <v>319</v>
      </c>
      <c r="C423">
        <v>1995</v>
      </c>
      <c r="D423" s="130">
        <v>42.900002000000001</v>
      </c>
      <c r="E423" s="130">
        <v>-0.69999690000000003</v>
      </c>
      <c r="F423" s="130">
        <v>6555.91</v>
      </c>
      <c r="G423" s="130">
        <v>2.99501E-2</v>
      </c>
      <c r="H423" s="16">
        <v>18000000</v>
      </c>
      <c r="I423">
        <v>-1.2065999999999999E-3</v>
      </c>
    </row>
    <row r="424" spans="1:9" x14ac:dyDescent="0.25">
      <c r="A424" t="s">
        <v>320</v>
      </c>
      <c r="B424" t="s">
        <v>319</v>
      </c>
      <c r="C424">
        <v>1996</v>
      </c>
      <c r="F424" s="130">
        <v>6777.14</v>
      </c>
      <c r="G424" s="130">
        <v>3.3187899999999999E-2</v>
      </c>
      <c r="H424" s="16">
        <v>18000000</v>
      </c>
      <c r="I424">
        <v>1.2112299999999999E-2</v>
      </c>
    </row>
    <row r="425" spans="1:9" x14ac:dyDescent="0.25">
      <c r="A425" t="s">
        <v>320</v>
      </c>
      <c r="B425" t="s">
        <v>319</v>
      </c>
      <c r="C425">
        <v>1997</v>
      </c>
      <c r="D425" s="130">
        <v>40</v>
      </c>
      <c r="F425" s="130">
        <v>7039.31</v>
      </c>
      <c r="G425" s="130">
        <v>3.7955299999999997E-2</v>
      </c>
      <c r="H425" s="16">
        <v>18000000</v>
      </c>
      <c r="I425">
        <v>1.2312200000000001E-2</v>
      </c>
    </row>
    <row r="426" spans="1:9" x14ac:dyDescent="0.25">
      <c r="A426" t="s">
        <v>320</v>
      </c>
      <c r="B426" t="s">
        <v>319</v>
      </c>
      <c r="C426">
        <v>1998</v>
      </c>
      <c r="D426" s="130">
        <v>40.200001</v>
      </c>
      <c r="E426" s="130">
        <v>0.20000080000000001</v>
      </c>
      <c r="F426" s="130">
        <v>7210.27</v>
      </c>
      <c r="G426" s="130">
        <v>2.39954E-2</v>
      </c>
      <c r="H426" s="16">
        <v>18000000</v>
      </c>
      <c r="I426">
        <v>1.2784800000000001E-2</v>
      </c>
    </row>
    <row r="427" spans="1:9" x14ac:dyDescent="0.25">
      <c r="A427" t="s">
        <v>320</v>
      </c>
      <c r="B427" t="s">
        <v>319</v>
      </c>
      <c r="C427">
        <v>1999</v>
      </c>
      <c r="D427" s="130">
        <v>38.900002000000001</v>
      </c>
      <c r="E427" s="130">
        <v>-1.2999989999999999</v>
      </c>
      <c r="F427" s="130">
        <v>7531.4</v>
      </c>
      <c r="G427" s="130">
        <v>4.3575299999999997E-2</v>
      </c>
      <c r="H427" s="16">
        <v>19000000</v>
      </c>
      <c r="I427">
        <v>6.00896E-2</v>
      </c>
    </row>
    <row r="428" spans="1:9" x14ac:dyDescent="0.25">
      <c r="A428" t="s">
        <v>320</v>
      </c>
      <c r="B428" t="s">
        <v>319</v>
      </c>
      <c r="C428">
        <v>2000</v>
      </c>
      <c r="D428" s="130">
        <v>40.099997999999999</v>
      </c>
      <c r="E428" s="130">
        <v>1.199997</v>
      </c>
      <c r="F428" s="130">
        <v>7811.04</v>
      </c>
      <c r="G428" s="130">
        <v>3.6457099999999999E-2</v>
      </c>
      <c r="H428" s="16">
        <v>20000000</v>
      </c>
      <c r="I428">
        <v>1.82182E-2</v>
      </c>
    </row>
    <row r="429" spans="1:9" x14ac:dyDescent="0.25">
      <c r="A429" t="s">
        <v>320</v>
      </c>
      <c r="B429" t="s">
        <v>319</v>
      </c>
      <c r="C429">
        <v>2001</v>
      </c>
      <c r="D429" s="130">
        <v>38.5</v>
      </c>
      <c r="E429" s="130">
        <v>-1.599998</v>
      </c>
      <c r="F429" s="130">
        <v>7958.7</v>
      </c>
      <c r="G429" s="130">
        <v>1.87283E-2</v>
      </c>
      <c r="H429" s="16">
        <v>20000000</v>
      </c>
      <c r="I429">
        <v>1.6943699999999999E-2</v>
      </c>
    </row>
    <row r="430" spans="1:9" x14ac:dyDescent="0.25">
      <c r="A430" t="s">
        <v>320</v>
      </c>
      <c r="B430" t="s">
        <v>319</v>
      </c>
      <c r="C430">
        <v>2002</v>
      </c>
      <c r="D430" s="130">
        <v>39.799999</v>
      </c>
      <c r="E430" s="130">
        <v>1.2999989999999999</v>
      </c>
      <c r="F430" s="130">
        <v>8016.3</v>
      </c>
      <c r="G430" s="130">
        <v>7.2106999999999996E-3</v>
      </c>
      <c r="H430" s="16">
        <v>20000000</v>
      </c>
      <c r="I430">
        <v>1.51582E-2</v>
      </c>
    </row>
    <row r="431" spans="1:9" x14ac:dyDescent="0.25">
      <c r="A431" t="s">
        <v>320</v>
      </c>
      <c r="B431" t="s">
        <v>319</v>
      </c>
      <c r="C431">
        <v>2003</v>
      </c>
      <c r="D431" s="130">
        <v>42.099997999999999</v>
      </c>
      <c r="E431" s="130">
        <v>2.2999990000000001</v>
      </c>
      <c r="F431" s="130">
        <v>8137.73</v>
      </c>
      <c r="G431" s="130">
        <v>1.5033700000000001E-2</v>
      </c>
      <c r="H431" s="16">
        <v>21000000</v>
      </c>
      <c r="I431">
        <v>5.5673500000000001E-2</v>
      </c>
    </row>
    <row r="432" spans="1:9" x14ac:dyDescent="0.25">
      <c r="A432" t="s">
        <v>320</v>
      </c>
      <c r="B432" t="s">
        <v>319</v>
      </c>
      <c r="C432">
        <v>2004</v>
      </c>
      <c r="D432" s="130">
        <v>43.5</v>
      </c>
      <c r="E432" s="130">
        <v>1.400002</v>
      </c>
      <c r="F432" s="130">
        <v>8331.67</v>
      </c>
      <c r="G432" s="130">
        <v>2.35538E-2</v>
      </c>
      <c r="H432" s="16">
        <v>22000000</v>
      </c>
      <c r="I432">
        <v>5.9274100000000003E-2</v>
      </c>
    </row>
    <row r="433" spans="1:9" x14ac:dyDescent="0.25">
      <c r="A433" t="s">
        <v>320</v>
      </c>
      <c r="B433" t="s">
        <v>319</v>
      </c>
      <c r="C433">
        <v>2005</v>
      </c>
      <c r="D433" s="130">
        <v>40</v>
      </c>
      <c r="E433" s="130">
        <v>-3.5</v>
      </c>
      <c r="F433" s="130">
        <v>8560.3799999999992</v>
      </c>
      <c r="G433" s="130">
        <v>2.7079599999999999E-2</v>
      </c>
      <c r="H433" s="16">
        <v>23000000</v>
      </c>
      <c r="I433">
        <v>5.36786E-2</v>
      </c>
    </row>
    <row r="434" spans="1:9" x14ac:dyDescent="0.25">
      <c r="A434" t="s">
        <v>320</v>
      </c>
      <c r="B434" t="s">
        <v>319</v>
      </c>
      <c r="C434">
        <v>2006</v>
      </c>
      <c r="D434" s="130">
        <v>38.200001</v>
      </c>
      <c r="E434" s="130">
        <v>-1.7999989999999999</v>
      </c>
      <c r="F434" s="130">
        <v>8994.23</v>
      </c>
      <c r="G434" s="130">
        <v>4.9439400000000001E-2</v>
      </c>
      <c r="H434" s="16">
        <v>23000000</v>
      </c>
      <c r="I434">
        <v>7.6619999999999998E-4</v>
      </c>
    </row>
    <row r="435" spans="1:9" x14ac:dyDescent="0.25">
      <c r="A435" t="s">
        <v>320</v>
      </c>
      <c r="B435" t="s">
        <v>319</v>
      </c>
      <c r="C435">
        <v>2007</v>
      </c>
      <c r="D435" s="130">
        <v>41.5</v>
      </c>
      <c r="E435" s="130">
        <v>3.2999990000000001</v>
      </c>
      <c r="F435" s="130">
        <v>9470.98</v>
      </c>
      <c r="G435" s="130">
        <v>5.1649100000000003E-2</v>
      </c>
      <c r="H435" s="16">
        <v>24000000</v>
      </c>
      <c r="I435">
        <v>6.0501300000000001E-2</v>
      </c>
    </row>
    <row r="436" spans="1:9" x14ac:dyDescent="0.25">
      <c r="A436" t="s">
        <v>320</v>
      </c>
      <c r="B436" t="s">
        <v>319</v>
      </c>
      <c r="C436">
        <v>2008</v>
      </c>
      <c r="F436" s="130">
        <v>9979.0400000000009</v>
      </c>
      <c r="G436" s="130">
        <v>5.2254700000000001E-2</v>
      </c>
      <c r="H436" s="16">
        <v>25000000</v>
      </c>
      <c r="I436">
        <v>3.6679999999999997E-2</v>
      </c>
    </row>
    <row r="437" spans="1:9" x14ac:dyDescent="0.25">
      <c r="A437" t="s">
        <v>320</v>
      </c>
      <c r="B437" t="s">
        <v>319</v>
      </c>
      <c r="C437">
        <v>2009</v>
      </c>
      <c r="D437" s="130">
        <v>39.400002000000001</v>
      </c>
      <c r="F437" s="130">
        <v>10272.1</v>
      </c>
      <c r="G437" s="130">
        <v>2.8943099999999999E-2</v>
      </c>
      <c r="H437" s="16">
        <v>25000000</v>
      </c>
      <c r="I437">
        <v>3.3755899999999998E-2</v>
      </c>
    </row>
    <row r="438" spans="1:9" x14ac:dyDescent="0.25">
      <c r="A438" t="s">
        <v>320</v>
      </c>
      <c r="B438" t="s">
        <v>319</v>
      </c>
      <c r="C438">
        <v>2010</v>
      </c>
      <c r="D438" s="130">
        <v>37.799999</v>
      </c>
      <c r="E438" s="130">
        <v>-1.6000019999999999</v>
      </c>
      <c r="F438" s="130">
        <v>10620.8</v>
      </c>
      <c r="G438" s="130">
        <v>3.3386199999999998E-2</v>
      </c>
      <c r="H438" s="16">
        <v>26000000</v>
      </c>
      <c r="I438">
        <v>3.7481399999999998E-2</v>
      </c>
    </row>
    <row r="439" spans="1:9" x14ac:dyDescent="0.25">
      <c r="A439" t="s">
        <v>320</v>
      </c>
      <c r="B439" t="s">
        <v>319</v>
      </c>
      <c r="C439">
        <v>2011</v>
      </c>
      <c r="F439" s="130">
        <v>10628.7</v>
      </c>
      <c r="G439" s="130">
        <v>7.4580000000000002E-4</v>
      </c>
      <c r="H439" s="16">
        <v>27000000</v>
      </c>
      <c r="I439">
        <v>3.5146799999999999E-2</v>
      </c>
    </row>
    <row r="440" spans="1:9" x14ac:dyDescent="0.25">
      <c r="A440" t="s">
        <v>320</v>
      </c>
      <c r="B440" t="s">
        <v>319</v>
      </c>
      <c r="C440">
        <v>2012</v>
      </c>
      <c r="F440" s="130">
        <v>10685</v>
      </c>
      <c r="G440" s="130">
        <v>5.2833999999999997E-3</v>
      </c>
      <c r="H440" s="16">
        <v>27000000</v>
      </c>
      <c r="I440">
        <v>3.5737499999999998E-2</v>
      </c>
    </row>
    <row r="441" spans="1:9" x14ac:dyDescent="0.25">
      <c r="A441" t="s">
        <v>320</v>
      </c>
      <c r="B441" t="s">
        <v>319</v>
      </c>
      <c r="C441">
        <v>2013</v>
      </c>
    </row>
    <row r="442" spans="1:9" x14ac:dyDescent="0.25">
      <c r="A442" t="s">
        <v>421</v>
      </c>
      <c r="B442" t="s">
        <v>151</v>
      </c>
      <c r="C442">
        <v>1990</v>
      </c>
      <c r="D442" s="130">
        <v>26.200001</v>
      </c>
      <c r="F442" s="130">
        <v>23643.200000000001</v>
      </c>
      <c r="H442" s="16">
        <v>16000000</v>
      </c>
    </row>
    <row r="443" spans="1:9" x14ac:dyDescent="0.25">
      <c r="A443" t="s">
        <v>421</v>
      </c>
      <c r="B443" t="s">
        <v>151</v>
      </c>
      <c r="C443">
        <v>1991</v>
      </c>
      <c r="D443" s="130">
        <v>25.299999</v>
      </c>
      <c r="E443" s="130">
        <v>-0.90000150000000001</v>
      </c>
      <c r="F443" s="130">
        <v>24190</v>
      </c>
      <c r="G443" s="130">
        <v>2.2862400000000001E-2</v>
      </c>
      <c r="H443" s="16">
        <v>16000000</v>
      </c>
      <c r="I443">
        <v>9.1336000000000004E-3</v>
      </c>
    </row>
    <row r="444" spans="1:9" x14ac:dyDescent="0.25">
      <c r="A444" t="s">
        <v>421</v>
      </c>
      <c r="B444" t="s">
        <v>151</v>
      </c>
      <c r="C444">
        <v>1992</v>
      </c>
      <c r="D444" s="130">
        <v>25.299999</v>
      </c>
      <c r="E444" s="130">
        <v>0</v>
      </c>
      <c r="F444" s="130">
        <v>24334.400000000001</v>
      </c>
      <c r="G444" s="130">
        <v>5.9500000000000004E-3</v>
      </c>
      <c r="H444" s="16">
        <v>16000000</v>
      </c>
      <c r="I444">
        <v>6.0171000000000001E-3</v>
      </c>
    </row>
    <row r="445" spans="1:9" x14ac:dyDescent="0.25">
      <c r="A445" t="s">
        <v>421</v>
      </c>
      <c r="B445" t="s">
        <v>151</v>
      </c>
      <c r="C445">
        <v>1993</v>
      </c>
      <c r="D445" s="130">
        <v>25.700001</v>
      </c>
      <c r="E445" s="130">
        <v>0.40000150000000001</v>
      </c>
      <c r="F445" s="130">
        <v>24008.6</v>
      </c>
      <c r="G445" s="130">
        <v>-1.3477299999999999E-2</v>
      </c>
      <c r="H445" s="16">
        <v>16000000</v>
      </c>
      <c r="I445">
        <v>1.1522900000000001E-2</v>
      </c>
    </row>
    <row r="446" spans="1:9" x14ac:dyDescent="0.25">
      <c r="A446" t="s">
        <v>421</v>
      </c>
      <c r="B446" t="s">
        <v>151</v>
      </c>
      <c r="C446">
        <v>1994</v>
      </c>
      <c r="D446" s="130">
        <v>25.9</v>
      </c>
      <c r="E446" s="130">
        <v>0.19999890000000001</v>
      </c>
      <c r="F446" s="130">
        <v>24514.7</v>
      </c>
      <c r="G446" s="130">
        <v>2.0861600000000001E-2</v>
      </c>
      <c r="H446" s="16">
        <v>16000000</v>
      </c>
      <c r="I446">
        <v>1.4693299999999999E-2</v>
      </c>
    </row>
    <row r="447" spans="1:9" x14ac:dyDescent="0.25">
      <c r="A447" t="s">
        <v>421</v>
      </c>
      <c r="B447" t="s">
        <v>151</v>
      </c>
      <c r="C447">
        <v>1995</v>
      </c>
      <c r="D447" s="130">
        <v>25.1</v>
      </c>
      <c r="E447" s="130">
        <v>-0.79999920000000002</v>
      </c>
      <c r="F447" s="130">
        <v>25131.8</v>
      </c>
      <c r="G447" s="130">
        <v>2.48623E-2</v>
      </c>
      <c r="H447" s="16">
        <v>17000000</v>
      </c>
      <c r="I447">
        <v>9.5546999999999993E-3</v>
      </c>
    </row>
    <row r="448" spans="1:9" x14ac:dyDescent="0.25">
      <c r="A448" t="s">
        <v>421</v>
      </c>
      <c r="B448" t="s">
        <v>151</v>
      </c>
      <c r="C448">
        <v>1996</v>
      </c>
      <c r="D448" s="130">
        <v>24.700001</v>
      </c>
      <c r="E448" s="130">
        <v>-0.39999960000000001</v>
      </c>
      <c r="F448" s="130">
        <v>25688.3</v>
      </c>
      <c r="G448" s="130">
        <v>2.1900200000000002E-2</v>
      </c>
      <c r="H448" s="16">
        <v>17000000</v>
      </c>
      <c r="I448">
        <v>1.5026299999999999E-2</v>
      </c>
    </row>
    <row r="449" spans="1:9" x14ac:dyDescent="0.25">
      <c r="A449" t="s">
        <v>421</v>
      </c>
      <c r="B449" t="s">
        <v>151</v>
      </c>
      <c r="C449">
        <v>1997</v>
      </c>
      <c r="D449" s="130">
        <v>23.6</v>
      </c>
      <c r="E449" s="130">
        <v>-1.1000000000000001</v>
      </c>
      <c r="F449" s="130">
        <v>26614.6</v>
      </c>
      <c r="G449" s="130">
        <v>3.5422299999999997E-2</v>
      </c>
      <c r="H449" s="16">
        <v>17000000</v>
      </c>
      <c r="I449">
        <v>1.46813E-2</v>
      </c>
    </row>
    <row r="450" spans="1:9" x14ac:dyDescent="0.25">
      <c r="A450" t="s">
        <v>421</v>
      </c>
      <c r="B450" t="s">
        <v>151</v>
      </c>
      <c r="C450">
        <v>1998</v>
      </c>
      <c r="D450" s="130">
        <v>22.700001</v>
      </c>
      <c r="E450" s="130">
        <v>-0.89999960000000001</v>
      </c>
      <c r="F450" s="130">
        <v>27706.6</v>
      </c>
      <c r="G450" s="130">
        <v>4.0211700000000003E-2</v>
      </c>
      <c r="H450" s="16">
        <v>17000000</v>
      </c>
      <c r="I450">
        <v>1.49009E-2</v>
      </c>
    </row>
    <row r="451" spans="1:9" x14ac:dyDescent="0.25">
      <c r="A451" t="s">
        <v>421</v>
      </c>
      <c r="B451" t="s">
        <v>151</v>
      </c>
      <c r="C451">
        <v>1999</v>
      </c>
      <c r="D451" s="130">
        <v>21.4</v>
      </c>
      <c r="E451" s="130">
        <v>-1.300001</v>
      </c>
      <c r="F451" s="130">
        <v>28868.9</v>
      </c>
      <c r="G451" s="130">
        <v>4.1095699999999999E-2</v>
      </c>
      <c r="H451" s="16">
        <v>18000000</v>
      </c>
      <c r="I451">
        <v>2.0303100000000001E-2</v>
      </c>
    </row>
    <row r="452" spans="1:9" x14ac:dyDescent="0.25">
      <c r="A452" t="s">
        <v>421</v>
      </c>
      <c r="B452" t="s">
        <v>151</v>
      </c>
      <c r="C452">
        <v>2000</v>
      </c>
      <c r="D452" s="130">
        <v>20.100000000000001</v>
      </c>
      <c r="E452" s="130">
        <v>-1.2999989999999999</v>
      </c>
      <c r="F452" s="130">
        <v>30072.3</v>
      </c>
      <c r="G452" s="130">
        <v>4.0839199999999999E-2</v>
      </c>
      <c r="H452" s="16">
        <v>18000000</v>
      </c>
      <c r="I452">
        <v>3.4215599999999999E-2</v>
      </c>
    </row>
    <row r="453" spans="1:9" x14ac:dyDescent="0.25">
      <c r="A453" t="s">
        <v>421</v>
      </c>
      <c r="B453" t="s">
        <v>151</v>
      </c>
      <c r="C453">
        <v>2001</v>
      </c>
      <c r="D453" s="130">
        <v>19.899999999999999</v>
      </c>
      <c r="E453" s="130">
        <v>-0.20000080000000001</v>
      </c>
      <c r="F453" s="130">
        <v>30798.9</v>
      </c>
      <c r="G453" s="130">
        <v>2.3872399999999998E-2</v>
      </c>
      <c r="H453" s="16">
        <v>18000000</v>
      </c>
      <c r="I453">
        <v>9.2639999999999997E-4</v>
      </c>
    </row>
    <row r="454" spans="1:9" x14ac:dyDescent="0.25">
      <c r="A454" t="s">
        <v>421</v>
      </c>
      <c r="B454" t="s">
        <v>151</v>
      </c>
      <c r="C454">
        <v>2002</v>
      </c>
      <c r="D454" s="130">
        <v>19</v>
      </c>
      <c r="E454" s="130">
        <v>-0.89999960000000001</v>
      </c>
      <c r="F454" s="130">
        <v>31117.8</v>
      </c>
      <c r="G454" s="130">
        <v>1.0301599999999999E-2</v>
      </c>
      <c r="H454" s="16">
        <v>19000000</v>
      </c>
      <c r="I454">
        <v>4.5070100000000002E-2</v>
      </c>
    </row>
    <row r="455" spans="1:9" x14ac:dyDescent="0.25">
      <c r="A455" t="s">
        <v>421</v>
      </c>
      <c r="B455" t="s">
        <v>151</v>
      </c>
      <c r="C455">
        <v>2003</v>
      </c>
      <c r="D455" s="130">
        <v>18.200001</v>
      </c>
      <c r="E455" s="130">
        <v>-0.79999920000000002</v>
      </c>
      <c r="F455" s="130">
        <v>31504.2</v>
      </c>
      <c r="G455" s="130">
        <v>1.2342499999999999E-2</v>
      </c>
      <c r="H455" s="16">
        <v>20000000</v>
      </c>
      <c r="I455">
        <v>4.7542899999999999E-2</v>
      </c>
    </row>
    <row r="456" spans="1:9" x14ac:dyDescent="0.25">
      <c r="A456" t="s">
        <v>421</v>
      </c>
      <c r="B456" t="s">
        <v>151</v>
      </c>
      <c r="C456">
        <v>2004</v>
      </c>
      <c r="D456" s="130">
        <v>18.100000000000001</v>
      </c>
      <c r="E456" s="130">
        <v>-0.1000004</v>
      </c>
      <c r="F456" s="130">
        <v>31974.5</v>
      </c>
      <c r="G456" s="130">
        <v>1.48182E-2</v>
      </c>
      <c r="H456" s="16">
        <v>20000000</v>
      </c>
      <c r="I456">
        <v>4.9529799999999999E-2</v>
      </c>
    </row>
    <row r="457" spans="1:9" x14ac:dyDescent="0.25">
      <c r="A457" t="s">
        <v>421</v>
      </c>
      <c r="B457" t="s">
        <v>151</v>
      </c>
      <c r="C457">
        <v>2005</v>
      </c>
      <c r="D457" s="130">
        <v>18.200001</v>
      </c>
      <c r="E457" s="130">
        <v>0.1000004</v>
      </c>
      <c r="F457" s="130">
        <v>32565.599999999999</v>
      </c>
      <c r="G457" s="130">
        <v>1.8316300000000001E-2</v>
      </c>
      <c r="H457" s="16">
        <v>21000000</v>
      </c>
      <c r="I457">
        <v>4.5203E-2</v>
      </c>
    </row>
    <row r="458" spans="1:9" x14ac:dyDescent="0.25">
      <c r="A458" t="s">
        <v>421</v>
      </c>
      <c r="B458" t="s">
        <v>151</v>
      </c>
      <c r="C458">
        <v>2006</v>
      </c>
      <c r="D458" s="130">
        <v>17.799999</v>
      </c>
      <c r="E458" s="130">
        <v>-0.40000150000000001</v>
      </c>
      <c r="F458" s="130">
        <v>33324.9</v>
      </c>
      <c r="G458" s="130">
        <v>2.3049400000000001E-2</v>
      </c>
      <c r="H458" s="16">
        <v>22000000</v>
      </c>
      <c r="I458">
        <v>4.3606800000000001E-2</v>
      </c>
    </row>
    <row r="459" spans="1:9" x14ac:dyDescent="0.25">
      <c r="A459" t="s">
        <v>421</v>
      </c>
      <c r="B459" t="s">
        <v>151</v>
      </c>
      <c r="C459">
        <v>2007</v>
      </c>
      <c r="D459" s="130">
        <v>17.600000000000001</v>
      </c>
      <c r="E459" s="130">
        <v>-0.19999890000000001</v>
      </c>
      <c r="F459" s="130">
        <v>33851.9</v>
      </c>
      <c r="G459" s="130">
        <v>1.56898E-2</v>
      </c>
      <c r="H459" s="16">
        <v>22000000</v>
      </c>
      <c r="I459">
        <v>3.68876E-2</v>
      </c>
    </row>
    <row r="460" spans="1:9" x14ac:dyDescent="0.25">
      <c r="A460" t="s">
        <v>421</v>
      </c>
      <c r="B460" t="s">
        <v>151</v>
      </c>
      <c r="C460">
        <v>2008</v>
      </c>
      <c r="D460" s="130">
        <v>17.600000000000001</v>
      </c>
      <c r="E460" s="130">
        <v>0</v>
      </c>
      <c r="F460" s="130">
        <v>33613.199999999997</v>
      </c>
      <c r="G460" s="130">
        <v>-7.0762999999999998E-3</v>
      </c>
      <c r="H460" s="16">
        <v>23000000</v>
      </c>
      <c r="I460">
        <v>4.1184999999999999E-2</v>
      </c>
    </row>
    <row r="461" spans="1:9" x14ac:dyDescent="0.25">
      <c r="A461" t="s">
        <v>421</v>
      </c>
      <c r="B461" t="s">
        <v>151</v>
      </c>
      <c r="C461">
        <v>2009</v>
      </c>
      <c r="D461" s="130">
        <v>16.899999999999999</v>
      </c>
      <c r="E461" s="130">
        <v>-0.70000079999999998</v>
      </c>
      <c r="F461" s="130">
        <v>32040</v>
      </c>
      <c r="G461" s="130">
        <v>-4.7934499999999998E-2</v>
      </c>
      <c r="H461" s="16">
        <v>23000000</v>
      </c>
      <c r="I461">
        <v>1.36919E-2</v>
      </c>
    </row>
    <row r="462" spans="1:9" x14ac:dyDescent="0.25">
      <c r="A462" t="s">
        <v>421</v>
      </c>
      <c r="B462" t="s">
        <v>151</v>
      </c>
      <c r="C462">
        <v>2010</v>
      </c>
      <c r="D462" s="130">
        <v>16.799999</v>
      </c>
      <c r="E462" s="130">
        <v>-0.1000004</v>
      </c>
      <c r="F462" s="130">
        <v>31828.6</v>
      </c>
      <c r="G462" s="130">
        <v>-6.6185000000000003E-3</v>
      </c>
      <c r="H462" s="16">
        <v>23000000</v>
      </c>
      <c r="I462">
        <v>9.7338000000000008E-3</v>
      </c>
    </row>
    <row r="463" spans="1:9" x14ac:dyDescent="0.25">
      <c r="A463" t="s">
        <v>421</v>
      </c>
      <c r="B463" t="s">
        <v>151</v>
      </c>
      <c r="C463">
        <v>2011</v>
      </c>
      <c r="D463" s="130">
        <v>16.5</v>
      </c>
      <c r="E463" s="130">
        <v>-0.29999920000000002</v>
      </c>
      <c r="F463" s="130">
        <v>31731.7</v>
      </c>
      <c r="G463" s="130">
        <v>-3.0508000000000002E-3</v>
      </c>
      <c r="H463" s="16">
        <v>24000000</v>
      </c>
      <c r="I463">
        <v>5.4498000000000003E-3</v>
      </c>
    </row>
    <row r="464" spans="1:9" x14ac:dyDescent="0.25">
      <c r="A464" t="s">
        <v>421</v>
      </c>
      <c r="B464" t="s">
        <v>151</v>
      </c>
      <c r="C464">
        <v>2012</v>
      </c>
      <c r="D464" s="130">
        <v>17.5</v>
      </c>
      <c r="E464" s="130">
        <v>1</v>
      </c>
      <c r="F464" s="130">
        <v>31198.400000000001</v>
      </c>
      <c r="G464" s="130">
        <v>-1.69477E-2</v>
      </c>
      <c r="H464" s="16">
        <v>24000000</v>
      </c>
      <c r="I464">
        <v>6.2719999999999996E-4</v>
      </c>
    </row>
    <row r="465" spans="1:9" x14ac:dyDescent="0.25">
      <c r="A465" t="s">
        <v>421</v>
      </c>
      <c r="B465" t="s">
        <v>151</v>
      </c>
      <c r="C465">
        <v>2013</v>
      </c>
    </row>
    <row r="466" spans="1:9" x14ac:dyDescent="0.25">
      <c r="A466" t="s">
        <v>324</v>
      </c>
      <c r="B466" t="s">
        <v>133</v>
      </c>
      <c r="C466">
        <v>1993</v>
      </c>
      <c r="D466" s="130">
        <v>7.4000000999999997</v>
      </c>
      <c r="F466" s="130">
        <v>9423.0499999999993</v>
      </c>
      <c r="H466">
        <v>761737</v>
      </c>
    </row>
    <row r="467" spans="1:9" x14ac:dyDescent="0.25">
      <c r="A467" t="s">
        <v>324</v>
      </c>
      <c r="B467" t="s">
        <v>133</v>
      </c>
      <c r="C467">
        <v>1994</v>
      </c>
      <c r="D467" s="130">
        <v>8.1000004000000008</v>
      </c>
      <c r="E467" s="130">
        <v>0.70000030000000002</v>
      </c>
      <c r="F467" s="130">
        <v>9468.6299999999992</v>
      </c>
      <c r="G467" s="130">
        <v>4.8246000000000001E-3</v>
      </c>
      <c r="H467">
        <v>729698</v>
      </c>
      <c r="I467">
        <v>-4.2060199999999999E-2</v>
      </c>
    </row>
    <row r="468" spans="1:9" x14ac:dyDescent="0.25">
      <c r="A468" t="s">
        <v>324</v>
      </c>
      <c r="B468" t="s">
        <v>133</v>
      </c>
      <c r="C468">
        <v>1995</v>
      </c>
      <c r="D468" s="130">
        <v>6.9000000999999997</v>
      </c>
      <c r="E468" s="130">
        <v>-1.2</v>
      </c>
      <c r="F468" s="130">
        <v>10071</v>
      </c>
      <c r="G468" s="130">
        <v>6.1680800000000001E-2</v>
      </c>
      <c r="H468">
        <v>701384</v>
      </c>
      <c r="I468">
        <v>-3.71714E-2</v>
      </c>
    </row>
    <row r="469" spans="1:9" x14ac:dyDescent="0.25">
      <c r="A469" t="s">
        <v>324</v>
      </c>
      <c r="B469" t="s">
        <v>133</v>
      </c>
      <c r="C469">
        <v>1996</v>
      </c>
      <c r="D469" s="130">
        <v>7.5</v>
      </c>
      <c r="E469" s="130">
        <v>0.59999990000000003</v>
      </c>
      <c r="F469" s="130">
        <v>10822.7</v>
      </c>
      <c r="G469" s="130">
        <v>7.19833E-2</v>
      </c>
      <c r="H469">
        <v>694109</v>
      </c>
      <c r="I469">
        <v>-9.5504000000000006E-3</v>
      </c>
    </row>
    <row r="470" spans="1:9" x14ac:dyDescent="0.25">
      <c r="A470" t="s">
        <v>324</v>
      </c>
      <c r="B470" t="s">
        <v>133</v>
      </c>
      <c r="C470">
        <v>1997</v>
      </c>
      <c r="D470" s="130">
        <v>7.8000002000000004</v>
      </c>
      <c r="E470" s="130">
        <v>0.30000019999999999</v>
      </c>
      <c r="F470" s="130">
        <v>12231.7</v>
      </c>
      <c r="G470" s="130">
        <v>0.1223812</v>
      </c>
      <c r="H470">
        <v>688310</v>
      </c>
      <c r="I470">
        <v>-7.6119999999999998E-3</v>
      </c>
    </row>
    <row r="471" spans="1:9" x14ac:dyDescent="0.25">
      <c r="A471" t="s">
        <v>324</v>
      </c>
      <c r="B471" t="s">
        <v>133</v>
      </c>
      <c r="C471">
        <v>1998</v>
      </c>
      <c r="D471" s="130">
        <v>8.8000001999999995</v>
      </c>
      <c r="E471" s="130">
        <v>1</v>
      </c>
      <c r="F471" s="130">
        <v>13190.7</v>
      </c>
      <c r="G471" s="130">
        <v>7.5484300000000004E-2</v>
      </c>
      <c r="H471">
        <v>677254</v>
      </c>
      <c r="I471">
        <v>-1.45141E-2</v>
      </c>
    </row>
    <row r="472" spans="1:9" x14ac:dyDescent="0.25">
      <c r="A472" t="s">
        <v>324</v>
      </c>
      <c r="B472" t="s">
        <v>133</v>
      </c>
      <c r="C472">
        <v>1999</v>
      </c>
      <c r="D472" s="130">
        <v>8.8999995999999992</v>
      </c>
      <c r="E472" s="130">
        <v>9.9999400000000002E-2</v>
      </c>
      <c r="F472" s="130">
        <v>13207.7</v>
      </c>
      <c r="G472" s="130">
        <v>1.2856E-3</v>
      </c>
      <c r="H472">
        <v>663454</v>
      </c>
      <c r="I472">
        <v>-1.8116400000000001E-2</v>
      </c>
    </row>
    <row r="473" spans="1:9" x14ac:dyDescent="0.25">
      <c r="A473" t="s">
        <v>324</v>
      </c>
      <c r="B473" t="s">
        <v>133</v>
      </c>
      <c r="C473">
        <v>2000</v>
      </c>
      <c r="D473" s="130">
        <v>7.9000000999999997</v>
      </c>
      <c r="E473" s="130">
        <v>-0.99999950000000004</v>
      </c>
      <c r="F473" s="130">
        <v>14501.9</v>
      </c>
      <c r="G473" s="130">
        <v>9.3478199999999997E-2</v>
      </c>
      <c r="H473">
        <v>660808</v>
      </c>
      <c r="I473">
        <v>-3.4746E-3</v>
      </c>
    </row>
    <row r="474" spans="1:9" x14ac:dyDescent="0.25">
      <c r="A474" t="s">
        <v>324</v>
      </c>
      <c r="B474" t="s">
        <v>133</v>
      </c>
      <c r="C474">
        <v>2001</v>
      </c>
      <c r="D474" s="130">
        <v>6.5999999000000003</v>
      </c>
      <c r="E474" s="130">
        <v>-1.3</v>
      </c>
      <c r="F474" s="130">
        <v>15478.3</v>
      </c>
      <c r="G474" s="130">
        <v>6.5160800000000005E-2</v>
      </c>
      <c r="H474">
        <v>664083</v>
      </c>
      <c r="I474">
        <v>4.2992999999999998E-3</v>
      </c>
    </row>
    <row r="475" spans="1:9" x14ac:dyDescent="0.25">
      <c r="A475" t="s">
        <v>324</v>
      </c>
      <c r="B475" t="s">
        <v>133</v>
      </c>
      <c r="C475">
        <v>2002</v>
      </c>
      <c r="D475" s="130">
        <v>6.5</v>
      </c>
      <c r="E475" s="130">
        <v>-9.9999900000000003E-2</v>
      </c>
      <c r="F475" s="130">
        <v>16566.099999999999</v>
      </c>
      <c r="G475" s="130">
        <v>6.7921599999999999E-2</v>
      </c>
      <c r="H475">
        <v>652538</v>
      </c>
      <c r="I475">
        <v>-1.5155500000000001E-2</v>
      </c>
    </row>
    <row r="476" spans="1:9" x14ac:dyDescent="0.25">
      <c r="A476" t="s">
        <v>324</v>
      </c>
      <c r="B476" t="s">
        <v>133</v>
      </c>
      <c r="C476">
        <v>2003</v>
      </c>
      <c r="D476" s="130">
        <v>8.1000004000000008</v>
      </c>
      <c r="E476" s="130">
        <v>1.6</v>
      </c>
      <c r="F476" s="130">
        <v>17930.5</v>
      </c>
      <c r="G476" s="130">
        <v>7.9141600000000006E-2</v>
      </c>
      <c r="H476">
        <v>672599</v>
      </c>
      <c r="I476">
        <v>2.63351E-2</v>
      </c>
    </row>
    <row r="477" spans="1:9" x14ac:dyDescent="0.25">
      <c r="A477" t="s">
        <v>324</v>
      </c>
      <c r="B477" t="s">
        <v>133</v>
      </c>
      <c r="C477">
        <v>2004</v>
      </c>
      <c r="D477" s="130">
        <v>9.3000001999999995</v>
      </c>
      <c r="E477" s="130">
        <v>1.2</v>
      </c>
      <c r="F477" s="130">
        <v>19143.8</v>
      </c>
      <c r="G477" s="130">
        <v>6.5480200000000002E-2</v>
      </c>
      <c r="H477">
        <v>676170</v>
      </c>
      <c r="I477">
        <v>4.6880000000000003E-3</v>
      </c>
    </row>
    <row r="478" spans="1:9" x14ac:dyDescent="0.25">
      <c r="A478" t="s">
        <v>324</v>
      </c>
      <c r="B478" t="s">
        <v>133</v>
      </c>
      <c r="C478">
        <v>2005</v>
      </c>
      <c r="D478" s="130">
        <v>7.8000002000000004</v>
      </c>
      <c r="E478" s="130">
        <v>-1.5</v>
      </c>
      <c r="F478" s="130">
        <v>20914.7</v>
      </c>
      <c r="G478" s="130">
        <v>8.8468599999999994E-2</v>
      </c>
      <c r="H478">
        <v>673101</v>
      </c>
      <c r="I478">
        <v>-4.0289000000000002E-3</v>
      </c>
    </row>
    <row r="479" spans="1:9" x14ac:dyDescent="0.25">
      <c r="A479" t="s">
        <v>324</v>
      </c>
      <c r="B479" t="s">
        <v>133</v>
      </c>
      <c r="C479">
        <v>2006</v>
      </c>
      <c r="D479" s="130">
        <v>7.8000002000000004</v>
      </c>
      <c r="E479" s="130">
        <v>0</v>
      </c>
      <c r="F479" s="130">
        <v>23115.4</v>
      </c>
      <c r="G479" s="130">
        <v>0.1000481</v>
      </c>
      <c r="H479">
        <v>694865</v>
      </c>
      <c r="I479">
        <v>2.8572E-2</v>
      </c>
    </row>
    <row r="480" spans="1:9" x14ac:dyDescent="0.25">
      <c r="A480" t="s">
        <v>324</v>
      </c>
      <c r="B480" t="s">
        <v>133</v>
      </c>
      <c r="C480">
        <v>2007</v>
      </c>
      <c r="D480" s="130">
        <v>8.8999995999999992</v>
      </c>
      <c r="E480" s="130">
        <v>1.0999989999999999</v>
      </c>
      <c r="F480" s="130">
        <v>24915.8</v>
      </c>
      <c r="G480" s="130">
        <v>7.5004600000000005E-2</v>
      </c>
      <c r="H480">
        <v>695556</v>
      </c>
      <c r="I480">
        <v>9.0740000000000005E-4</v>
      </c>
    </row>
    <row r="481" spans="1:9" x14ac:dyDescent="0.25">
      <c r="A481" t="s">
        <v>324</v>
      </c>
      <c r="B481" t="s">
        <v>133</v>
      </c>
      <c r="C481">
        <v>2008</v>
      </c>
      <c r="D481" s="130">
        <v>7.5999999000000003</v>
      </c>
      <c r="E481" s="130">
        <v>-1.3</v>
      </c>
      <c r="F481" s="130">
        <v>23918.3</v>
      </c>
      <c r="G481" s="130">
        <v>-4.0860199999999999E-2</v>
      </c>
      <c r="H481">
        <v>701849</v>
      </c>
      <c r="I481">
        <v>8.2606999999999993E-3</v>
      </c>
    </row>
    <row r="482" spans="1:9" x14ac:dyDescent="0.25">
      <c r="A482" t="s">
        <v>324</v>
      </c>
      <c r="B482" t="s">
        <v>133</v>
      </c>
      <c r="C482">
        <v>2009</v>
      </c>
      <c r="D482" s="130">
        <v>8</v>
      </c>
      <c r="E482" s="130">
        <v>0.40000010000000003</v>
      </c>
      <c r="F482" s="130">
        <v>20573.3</v>
      </c>
      <c r="G482" s="130">
        <v>-0.15064810000000001</v>
      </c>
      <c r="H482">
        <v>698714</v>
      </c>
      <c r="I482">
        <v>-4.1151E-3</v>
      </c>
    </row>
    <row r="483" spans="1:9" x14ac:dyDescent="0.25">
      <c r="A483" t="s">
        <v>324</v>
      </c>
      <c r="B483" t="s">
        <v>133</v>
      </c>
      <c r="C483">
        <v>2010</v>
      </c>
      <c r="D483" s="130">
        <v>8</v>
      </c>
      <c r="E483" s="130">
        <v>0</v>
      </c>
      <c r="F483" s="130">
        <v>21126.400000000001</v>
      </c>
      <c r="G483" s="130">
        <v>2.65303E-2</v>
      </c>
      <c r="H483">
        <v>694437</v>
      </c>
      <c r="I483">
        <v>-5.6154999999999998E-3</v>
      </c>
    </row>
    <row r="484" spans="1:9" x14ac:dyDescent="0.25">
      <c r="A484" t="s">
        <v>324</v>
      </c>
      <c r="B484" t="s">
        <v>133</v>
      </c>
      <c r="C484">
        <v>2011</v>
      </c>
      <c r="D484" s="130">
        <v>8.3999995999999992</v>
      </c>
      <c r="E484" s="130">
        <v>0.39999960000000001</v>
      </c>
      <c r="F484" s="130">
        <v>23179.3</v>
      </c>
      <c r="G484" s="130">
        <v>9.2735300000000007E-2</v>
      </c>
      <c r="H484">
        <v>702411</v>
      </c>
      <c r="I484">
        <v>1.0468399999999999E-2</v>
      </c>
    </row>
    <row r="485" spans="1:9" x14ac:dyDescent="0.25">
      <c r="A485" t="s">
        <v>324</v>
      </c>
      <c r="B485" t="s">
        <v>133</v>
      </c>
      <c r="C485">
        <v>2012</v>
      </c>
      <c r="D485" s="130">
        <v>8.6000004000000008</v>
      </c>
      <c r="E485" s="130">
        <v>0.20000080000000001</v>
      </c>
      <c r="F485" s="130">
        <v>24194.7</v>
      </c>
      <c r="G485" s="130">
        <v>4.2872399999999998E-2</v>
      </c>
      <c r="H485">
        <v>692625</v>
      </c>
      <c r="I485">
        <v>-1.28468E-2</v>
      </c>
    </row>
    <row r="486" spans="1:9" x14ac:dyDescent="0.25">
      <c r="A486" t="s">
        <v>324</v>
      </c>
      <c r="B486" t="s">
        <v>133</v>
      </c>
      <c r="C486">
        <v>2013</v>
      </c>
    </row>
    <row r="487" spans="1:9" x14ac:dyDescent="0.25">
      <c r="A487" t="s">
        <v>327</v>
      </c>
      <c r="B487" t="s">
        <v>163</v>
      </c>
      <c r="C487">
        <v>1990</v>
      </c>
      <c r="D487" s="130">
        <v>15.6</v>
      </c>
      <c r="F487" s="130">
        <v>27893.7</v>
      </c>
      <c r="H487" s="16">
        <v>2600000</v>
      </c>
    </row>
    <row r="488" spans="1:9" x14ac:dyDescent="0.25">
      <c r="A488" t="s">
        <v>327</v>
      </c>
      <c r="B488" t="s">
        <v>163</v>
      </c>
      <c r="C488">
        <v>1991</v>
      </c>
      <c r="D488" s="130">
        <v>15.3</v>
      </c>
      <c r="E488" s="130">
        <v>-0.30000019999999999</v>
      </c>
      <c r="F488" s="130">
        <v>26077.3</v>
      </c>
      <c r="G488" s="130">
        <v>-6.7336099999999996E-2</v>
      </c>
      <c r="H488" s="16">
        <v>2600000</v>
      </c>
      <c r="I488">
        <v>-1.5938299999999999E-2</v>
      </c>
    </row>
    <row r="489" spans="1:9" x14ac:dyDescent="0.25">
      <c r="A489" t="s">
        <v>327</v>
      </c>
      <c r="B489" t="s">
        <v>163</v>
      </c>
      <c r="C489">
        <v>1992</v>
      </c>
      <c r="D489" s="130">
        <v>15.7</v>
      </c>
      <c r="E489" s="130">
        <v>0.39999960000000001</v>
      </c>
      <c r="F489" s="130">
        <v>25027.5</v>
      </c>
      <c r="G489" s="130">
        <v>-4.1091000000000003E-2</v>
      </c>
      <c r="H489" s="16">
        <v>2500000</v>
      </c>
      <c r="I489">
        <v>-1.5847E-2</v>
      </c>
    </row>
    <row r="490" spans="1:9" x14ac:dyDescent="0.25">
      <c r="A490" t="s">
        <v>327</v>
      </c>
      <c r="B490" t="s">
        <v>163</v>
      </c>
      <c r="C490">
        <v>1993</v>
      </c>
      <c r="D490" s="130">
        <v>16</v>
      </c>
      <c r="E490" s="130">
        <v>0.30000019999999999</v>
      </c>
      <c r="F490" s="130">
        <v>24704.799999999999</v>
      </c>
      <c r="G490" s="130">
        <v>-1.29786E-2</v>
      </c>
      <c r="H490" s="16">
        <v>2500000</v>
      </c>
      <c r="I490">
        <v>-8.7659000000000001E-3</v>
      </c>
    </row>
    <row r="491" spans="1:9" x14ac:dyDescent="0.25">
      <c r="A491" t="s">
        <v>327</v>
      </c>
      <c r="B491" t="s">
        <v>163</v>
      </c>
      <c r="C491">
        <v>1994</v>
      </c>
      <c r="D491" s="130">
        <v>16.299999</v>
      </c>
      <c r="E491" s="130">
        <v>0.29999920000000002</v>
      </c>
      <c r="F491" s="130">
        <v>25497.3</v>
      </c>
      <c r="G491" s="130">
        <v>3.1575199999999998E-2</v>
      </c>
      <c r="H491" s="16">
        <v>2500000</v>
      </c>
      <c r="I491">
        <v>-7.5234000000000004E-3</v>
      </c>
    </row>
    <row r="492" spans="1:9" x14ac:dyDescent="0.25">
      <c r="A492" t="s">
        <v>327</v>
      </c>
      <c r="B492" t="s">
        <v>163</v>
      </c>
      <c r="C492">
        <v>1995</v>
      </c>
      <c r="D492" s="130">
        <v>15.8</v>
      </c>
      <c r="E492" s="130">
        <v>-0.49999900000000003</v>
      </c>
      <c r="F492" s="130">
        <v>26406.6</v>
      </c>
      <c r="G492" s="130">
        <v>3.5043699999999997E-2</v>
      </c>
      <c r="H492" s="16">
        <v>2500000</v>
      </c>
      <c r="I492">
        <v>9.6378000000000002E-3</v>
      </c>
    </row>
    <row r="493" spans="1:9" x14ac:dyDescent="0.25">
      <c r="A493" t="s">
        <v>327</v>
      </c>
      <c r="B493" t="s">
        <v>163</v>
      </c>
      <c r="C493">
        <v>1996</v>
      </c>
      <c r="D493" s="130">
        <v>16.600000000000001</v>
      </c>
      <c r="E493" s="130">
        <v>0.80000020000000005</v>
      </c>
      <c r="F493" s="130">
        <v>27259.599999999999</v>
      </c>
      <c r="G493" s="130">
        <v>3.1791699999999999E-2</v>
      </c>
      <c r="H493" s="16">
        <v>2500000</v>
      </c>
      <c r="I493">
        <v>3.2322000000000002E-3</v>
      </c>
    </row>
    <row r="494" spans="1:9" x14ac:dyDescent="0.25">
      <c r="A494" t="s">
        <v>327</v>
      </c>
      <c r="B494" t="s">
        <v>163</v>
      </c>
      <c r="C494">
        <v>1997</v>
      </c>
      <c r="D494" s="130">
        <v>15.5</v>
      </c>
      <c r="E494" s="130">
        <v>-1.1000000000000001</v>
      </c>
      <c r="F494" s="130">
        <v>28865.3</v>
      </c>
      <c r="G494" s="130">
        <v>5.7234800000000002E-2</v>
      </c>
      <c r="H494" s="16">
        <v>2500000</v>
      </c>
      <c r="I494">
        <v>-4.6756000000000002E-3</v>
      </c>
    </row>
    <row r="495" spans="1:9" x14ac:dyDescent="0.25">
      <c r="A495" t="s">
        <v>327</v>
      </c>
      <c r="B495" t="s">
        <v>163</v>
      </c>
      <c r="C495">
        <v>1998</v>
      </c>
      <c r="D495" s="130">
        <v>14.6</v>
      </c>
      <c r="E495" s="130">
        <v>-0.89999960000000001</v>
      </c>
      <c r="F495" s="130">
        <v>30237.200000000001</v>
      </c>
      <c r="G495" s="130">
        <v>4.6430600000000002E-2</v>
      </c>
      <c r="H495" s="16">
        <v>2500000</v>
      </c>
      <c r="I495">
        <v>8.0146999999999996E-3</v>
      </c>
    </row>
    <row r="496" spans="1:9" x14ac:dyDescent="0.25">
      <c r="A496" t="s">
        <v>327</v>
      </c>
      <c r="B496" t="s">
        <v>163</v>
      </c>
      <c r="C496">
        <v>1999</v>
      </c>
      <c r="D496" s="130">
        <v>13.8</v>
      </c>
      <c r="E496" s="130">
        <v>-0.80000020000000005</v>
      </c>
      <c r="F496" s="130">
        <v>31346.1</v>
      </c>
      <c r="G496" s="130">
        <v>3.6018399999999999E-2</v>
      </c>
      <c r="H496" s="16">
        <v>2600000</v>
      </c>
      <c r="I496">
        <v>1.9060500000000001E-2</v>
      </c>
    </row>
    <row r="497" spans="1:9" x14ac:dyDescent="0.25">
      <c r="A497" t="s">
        <v>327</v>
      </c>
      <c r="B497" t="s">
        <v>163</v>
      </c>
      <c r="C497">
        <v>2000</v>
      </c>
      <c r="D497" s="130">
        <v>13.5</v>
      </c>
      <c r="E497" s="130">
        <v>-0.30000019999999999</v>
      </c>
      <c r="F497" s="130">
        <v>32946.400000000001</v>
      </c>
      <c r="G497" s="130">
        <v>4.9792299999999998E-2</v>
      </c>
      <c r="H497" s="16">
        <v>2600000</v>
      </c>
      <c r="I497">
        <v>1.23704E-2</v>
      </c>
    </row>
    <row r="498" spans="1:9" x14ac:dyDescent="0.25">
      <c r="A498" t="s">
        <v>327</v>
      </c>
      <c r="B498" t="s">
        <v>163</v>
      </c>
      <c r="C498">
        <v>2001</v>
      </c>
      <c r="D498" s="130">
        <v>13</v>
      </c>
      <c r="E498" s="130">
        <v>-0.5</v>
      </c>
      <c r="F498" s="130">
        <v>33622.199999999997</v>
      </c>
      <c r="G498" s="130">
        <v>2.0303700000000001E-2</v>
      </c>
      <c r="H498" s="16">
        <v>2600000</v>
      </c>
      <c r="I498">
        <v>5.9465000000000004E-3</v>
      </c>
    </row>
    <row r="499" spans="1:9" x14ac:dyDescent="0.25">
      <c r="A499" t="s">
        <v>327</v>
      </c>
      <c r="B499" t="s">
        <v>163</v>
      </c>
      <c r="C499">
        <v>2002</v>
      </c>
      <c r="D499" s="130">
        <v>12.9</v>
      </c>
      <c r="E499" s="130">
        <v>-0.1000004</v>
      </c>
      <c r="F499" s="130">
        <v>34156</v>
      </c>
      <c r="G499" s="130">
        <v>1.57518E-2</v>
      </c>
      <c r="H499" s="16">
        <v>2600000</v>
      </c>
      <c r="I499">
        <v>2.6895000000000001E-3</v>
      </c>
    </row>
    <row r="500" spans="1:9" x14ac:dyDescent="0.25">
      <c r="A500" t="s">
        <v>327</v>
      </c>
      <c r="B500" t="s">
        <v>163</v>
      </c>
      <c r="C500">
        <v>2003</v>
      </c>
      <c r="D500" s="130">
        <v>12.8</v>
      </c>
      <c r="E500" s="130">
        <v>-9.9999400000000002E-2</v>
      </c>
      <c r="F500" s="130">
        <v>34760.400000000001</v>
      </c>
      <c r="G500" s="130">
        <v>1.754E-2</v>
      </c>
      <c r="H500" s="16">
        <v>2600000</v>
      </c>
      <c r="I500">
        <v>-3.9785999999999997E-3</v>
      </c>
    </row>
    <row r="501" spans="1:9" x14ac:dyDescent="0.25">
      <c r="A501" t="s">
        <v>327</v>
      </c>
      <c r="B501" t="s">
        <v>163</v>
      </c>
      <c r="C501">
        <v>2004</v>
      </c>
      <c r="D501" s="130">
        <v>12.5</v>
      </c>
      <c r="E501" s="130">
        <v>-0.30000019999999999</v>
      </c>
      <c r="F501" s="130">
        <v>36089.300000000003</v>
      </c>
      <c r="G501" s="130">
        <v>3.7516599999999997E-2</v>
      </c>
      <c r="H501" s="16">
        <v>2600000</v>
      </c>
      <c r="I501">
        <v>-1.7761000000000001E-3</v>
      </c>
    </row>
    <row r="502" spans="1:9" x14ac:dyDescent="0.25">
      <c r="A502" t="s">
        <v>327</v>
      </c>
      <c r="B502" t="s">
        <v>163</v>
      </c>
      <c r="C502">
        <v>2005</v>
      </c>
      <c r="D502" s="130">
        <v>12.6</v>
      </c>
      <c r="E502" s="130">
        <v>0.1000004</v>
      </c>
      <c r="F502" s="130">
        <v>37014.800000000003</v>
      </c>
      <c r="G502" s="130">
        <v>2.5321E-2</v>
      </c>
      <c r="H502" s="16">
        <v>2600000</v>
      </c>
      <c r="I502">
        <v>8.8251000000000007E-3</v>
      </c>
    </row>
    <row r="503" spans="1:9" x14ac:dyDescent="0.25">
      <c r="A503" t="s">
        <v>327</v>
      </c>
      <c r="B503" t="s">
        <v>163</v>
      </c>
      <c r="C503">
        <v>2006</v>
      </c>
      <c r="D503" s="130">
        <v>12.9</v>
      </c>
      <c r="E503" s="130">
        <v>0.29999920000000002</v>
      </c>
      <c r="F503" s="130">
        <v>38499.300000000003</v>
      </c>
      <c r="G503" s="130">
        <v>3.9323799999999999E-2</v>
      </c>
      <c r="H503" s="16">
        <v>2700000</v>
      </c>
      <c r="I503">
        <v>1.4535299999999999E-2</v>
      </c>
    </row>
    <row r="504" spans="1:9" x14ac:dyDescent="0.25">
      <c r="A504" t="s">
        <v>327</v>
      </c>
      <c r="B504" t="s">
        <v>163</v>
      </c>
      <c r="C504">
        <v>2007</v>
      </c>
      <c r="D504" s="130">
        <v>12.6</v>
      </c>
      <c r="E504" s="130">
        <v>-0.29999920000000002</v>
      </c>
      <c r="F504" s="130">
        <v>40381.199999999997</v>
      </c>
      <c r="G504" s="130">
        <v>4.7722800000000003E-2</v>
      </c>
      <c r="H504" s="16">
        <v>2700000</v>
      </c>
      <c r="I504">
        <v>1.01899E-2</v>
      </c>
    </row>
    <row r="505" spans="1:9" x14ac:dyDescent="0.25">
      <c r="A505" t="s">
        <v>327</v>
      </c>
      <c r="B505" t="s">
        <v>163</v>
      </c>
      <c r="C505">
        <v>2008</v>
      </c>
      <c r="D505" s="130">
        <v>12.8</v>
      </c>
      <c r="E505" s="130">
        <v>0.19999980000000001</v>
      </c>
      <c r="F505" s="130">
        <v>40311.599999999999</v>
      </c>
      <c r="G505" s="130">
        <v>-1.7242E-3</v>
      </c>
      <c r="H505" s="16">
        <v>2700000</v>
      </c>
      <c r="I505">
        <v>1.0602800000000001E-2</v>
      </c>
    </row>
    <row r="506" spans="1:9" x14ac:dyDescent="0.25">
      <c r="A506" t="s">
        <v>327</v>
      </c>
      <c r="B506" t="s">
        <v>163</v>
      </c>
      <c r="C506">
        <v>2009</v>
      </c>
      <c r="D506" s="130">
        <v>13.6</v>
      </c>
      <c r="E506" s="130">
        <v>0.80000020000000005</v>
      </c>
      <c r="F506" s="130">
        <v>36693.599999999999</v>
      </c>
      <c r="G506" s="130">
        <v>-9.4035099999999996E-2</v>
      </c>
      <c r="H506" s="16">
        <v>2700000</v>
      </c>
      <c r="I506">
        <v>-9.9714999999999995E-3</v>
      </c>
    </row>
    <row r="507" spans="1:9" x14ac:dyDescent="0.25">
      <c r="A507" t="s">
        <v>327</v>
      </c>
      <c r="B507" t="s">
        <v>163</v>
      </c>
      <c r="C507">
        <v>2010</v>
      </c>
      <c r="D507" s="130">
        <v>13.4</v>
      </c>
      <c r="E507" s="130">
        <v>-0.20000080000000001</v>
      </c>
      <c r="F507" s="130">
        <v>37754.5</v>
      </c>
      <c r="G507" s="130">
        <v>2.8501499999999999E-2</v>
      </c>
      <c r="H507" s="16">
        <v>2700000</v>
      </c>
      <c r="I507">
        <v>-4.0715999999999999E-3</v>
      </c>
    </row>
    <row r="508" spans="1:9" x14ac:dyDescent="0.25">
      <c r="A508" t="s">
        <v>327</v>
      </c>
      <c r="B508" t="s">
        <v>163</v>
      </c>
      <c r="C508">
        <v>2011</v>
      </c>
      <c r="D508" s="130">
        <v>13.4</v>
      </c>
      <c r="E508" s="130">
        <v>0</v>
      </c>
      <c r="F508" s="130">
        <v>38604.6</v>
      </c>
      <c r="G508" s="130">
        <v>2.22673E-2</v>
      </c>
      <c r="H508" s="16">
        <v>2700000</v>
      </c>
      <c r="I508">
        <v>5.6296999999999996E-3</v>
      </c>
    </row>
    <row r="509" spans="1:9" x14ac:dyDescent="0.25">
      <c r="A509" t="s">
        <v>327</v>
      </c>
      <c r="B509" t="s">
        <v>163</v>
      </c>
      <c r="C509">
        <v>2012</v>
      </c>
      <c r="D509" s="130">
        <v>13.6</v>
      </c>
      <c r="E509" s="130">
        <v>0.20000080000000001</v>
      </c>
      <c r="F509" s="130">
        <v>38103.800000000003</v>
      </c>
      <c r="G509" s="130">
        <v>-1.3059599999999999E-2</v>
      </c>
      <c r="H509" s="16">
        <v>2700000</v>
      </c>
      <c r="I509">
        <v>1.7945999999999999E-3</v>
      </c>
    </row>
    <row r="510" spans="1:9" x14ac:dyDescent="0.25">
      <c r="A510" t="s">
        <v>327</v>
      </c>
      <c r="B510" t="s">
        <v>163</v>
      </c>
      <c r="C510">
        <v>2013</v>
      </c>
    </row>
    <row r="511" spans="1:9" x14ac:dyDescent="0.25">
      <c r="A511" t="s">
        <v>328</v>
      </c>
      <c r="B511" t="s">
        <v>157</v>
      </c>
      <c r="C511">
        <v>1990</v>
      </c>
      <c r="D511" s="130">
        <v>15.7</v>
      </c>
      <c r="F511" s="130">
        <v>29290</v>
      </c>
      <c r="H511" s="16">
        <v>26000000</v>
      </c>
    </row>
    <row r="512" spans="1:9" x14ac:dyDescent="0.25">
      <c r="A512" t="s">
        <v>328</v>
      </c>
      <c r="B512" t="s">
        <v>157</v>
      </c>
      <c r="C512">
        <v>1991</v>
      </c>
      <c r="D512" s="130">
        <v>15.3</v>
      </c>
      <c r="E512" s="130">
        <v>-0.39999960000000001</v>
      </c>
      <c r="F512" s="130">
        <v>29519.7</v>
      </c>
      <c r="G512" s="130">
        <v>7.8125E-3</v>
      </c>
      <c r="H512" s="16">
        <v>26000000</v>
      </c>
      <c r="I512">
        <v>-3.5771000000000002E-3</v>
      </c>
    </row>
    <row r="513" spans="1:9" x14ac:dyDescent="0.25">
      <c r="A513" t="s">
        <v>328</v>
      </c>
      <c r="B513" t="s">
        <v>157</v>
      </c>
      <c r="C513">
        <v>1992</v>
      </c>
      <c r="D513" s="130">
        <v>15.1</v>
      </c>
      <c r="E513" s="130">
        <v>-0.19999980000000001</v>
      </c>
      <c r="F513" s="130">
        <v>29807.3</v>
      </c>
      <c r="G513" s="130">
        <v>9.6941000000000006E-3</v>
      </c>
      <c r="H513" s="16">
        <v>26000000</v>
      </c>
      <c r="I513">
        <v>8.9248000000000001E-3</v>
      </c>
    </row>
    <row r="514" spans="1:9" x14ac:dyDescent="0.25">
      <c r="A514" t="s">
        <v>328</v>
      </c>
      <c r="B514" t="s">
        <v>157</v>
      </c>
      <c r="C514">
        <v>1993</v>
      </c>
      <c r="D514" s="130">
        <v>14.2</v>
      </c>
      <c r="E514" s="130">
        <v>-0.90000060000000004</v>
      </c>
      <c r="F514" s="130">
        <v>29480.2</v>
      </c>
      <c r="G514" s="130">
        <v>-1.1034E-2</v>
      </c>
      <c r="H514" s="16">
        <v>26000000</v>
      </c>
      <c r="I514">
        <v>6.0641000000000002E-3</v>
      </c>
    </row>
    <row r="515" spans="1:9" x14ac:dyDescent="0.25">
      <c r="A515" t="s">
        <v>328</v>
      </c>
      <c r="B515" t="s">
        <v>157</v>
      </c>
      <c r="C515">
        <v>1994</v>
      </c>
      <c r="D515" s="130">
        <v>14.1</v>
      </c>
      <c r="E515" s="130">
        <v>-9.9999400000000002E-2</v>
      </c>
      <c r="F515" s="130">
        <v>30030.6</v>
      </c>
      <c r="G515" s="130">
        <v>1.84975E-2</v>
      </c>
      <c r="H515" s="16">
        <v>26000000</v>
      </c>
      <c r="I515">
        <v>3.7921999999999999E-3</v>
      </c>
    </row>
    <row r="516" spans="1:9" x14ac:dyDescent="0.25">
      <c r="A516" t="s">
        <v>328</v>
      </c>
      <c r="B516" t="s">
        <v>157</v>
      </c>
      <c r="C516">
        <v>1995</v>
      </c>
      <c r="D516" s="130">
        <v>13.6</v>
      </c>
      <c r="E516" s="130">
        <v>-0.5</v>
      </c>
      <c r="F516" s="130">
        <v>30534.799999999999</v>
      </c>
      <c r="G516" s="130">
        <v>1.66502E-2</v>
      </c>
      <c r="H516" s="16">
        <v>26000000</v>
      </c>
      <c r="I516">
        <v>6.1259000000000001E-3</v>
      </c>
    </row>
    <row r="517" spans="1:9" x14ac:dyDescent="0.25">
      <c r="A517" t="s">
        <v>328</v>
      </c>
      <c r="B517" t="s">
        <v>157</v>
      </c>
      <c r="C517">
        <v>1996</v>
      </c>
      <c r="D517" s="130">
        <v>13.2</v>
      </c>
      <c r="E517" s="130">
        <v>-0.40000059999999998</v>
      </c>
      <c r="F517" s="130">
        <v>30751.7</v>
      </c>
      <c r="G517" s="130">
        <v>7.0771999999999996E-3</v>
      </c>
      <c r="H517" s="16">
        <v>27000000</v>
      </c>
      <c r="I517">
        <v>1.2386100000000001E-2</v>
      </c>
    </row>
    <row r="518" spans="1:9" x14ac:dyDescent="0.25">
      <c r="A518" t="s">
        <v>328</v>
      </c>
      <c r="B518" t="s">
        <v>157</v>
      </c>
      <c r="C518">
        <v>1997</v>
      </c>
      <c r="D518" s="130">
        <v>13</v>
      </c>
      <c r="E518" s="130">
        <v>-0.19999980000000001</v>
      </c>
      <c r="F518" s="130">
        <v>31312.3</v>
      </c>
      <c r="G518" s="130">
        <v>1.8065500000000002E-2</v>
      </c>
      <c r="H518" s="16">
        <v>27000000</v>
      </c>
      <c r="I518">
        <v>-1.9011E-3</v>
      </c>
    </row>
    <row r="519" spans="1:9" x14ac:dyDescent="0.25">
      <c r="A519" t="s">
        <v>328</v>
      </c>
      <c r="B519" t="s">
        <v>157</v>
      </c>
      <c r="C519">
        <v>1998</v>
      </c>
      <c r="D519" s="130">
        <v>12.5</v>
      </c>
      <c r="E519" s="130">
        <v>-0.5</v>
      </c>
      <c r="F519" s="130">
        <v>32251</v>
      </c>
      <c r="G519" s="130">
        <v>2.9539099999999999E-2</v>
      </c>
      <c r="H519" s="16">
        <v>27000000</v>
      </c>
      <c r="I519">
        <v>6.0528999999999999E-3</v>
      </c>
    </row>
    <row r="520" spans="1:9" x14ac:dyDescent="0.25">
      <c r="A520" t="s">
        <v>328</v>
      </c>
      <c r="B520" t="s">
        <v>157</v>
      </c>
      <c r="C520">
        <v>1999</v>
      </c>
      <c r="D520" s="130">
        <v>12.2</v>
      </c>
      <c r="E520" s="130">
        <v>-0.30000019999999999</v>
      </c>
      <c r="F520" s="130">
        <v>33141.800000000003</v>
      </c>
      <c r="G520" s="130">
        <v>2.7247400000000001E-2</v>
      </c>
      <c r="H520" s="16">
        <v>27000000</v>
      </c>
      <c r="I520">
        <v>1.13715E-2</v>
      </c>
    </row>
    <row r="521" spans="1:9" x14ac:dyDescent="0.25">
      <c r="A521" t="s">
        <v>328</v>
      </c>
      <c r="B521" t="s">
        <v>157</v>
      </c>
      <c r="C521">
        <v>2000</v>
      </c>
      <c r="D521" s="130">
        <v>11.4</v>
      </c>
      <c r="E521" s="130">
        <v>-0.80000020000000005</v>
      </c>
      <c r="F521" s="130">
        <v>34127.1</v>
      </c>
      <c r="G521" s="130">
        <v>2.9294000000000001E-2</v>
      </c>
      <c r="H521" s="16">
        <v>27000000</v>
      </c>
      <c r="I521">
        <v>7.2614000000000003E-3</v>
      </c>
    </row>
    <row r="522" spans="1:9" x14ac:dyDescent="0.25">
      <c r="A522" t="s">
        <v>328</v>
      </c>
      <c r="B522" t="s">
        <v>157</v>
      </c>
      <c r="C522">
        <v>2001</v>
      </c>
      <c r="D522" s="130">
        <v>10.9</v>
      </c>
      <c r="E522" s="130">
        <v>-0.5</v>
      </c>
      <c r="F522" s="130">
        <v>34501.599999999999</v>
      </c>
      <c r="G522" s="130">
        <v>1.09158E-2</v>
      </c>
      <c r="H522" s="16">
        <v>27000000</v>
      </c>
      <c r="I522">
        <v>3.5660000000000002E-3</v>
      </c>
    </row>
    <row r="523" spans="1:9" x14ac:dyDescent="0.25">
      <c r="A523" t="s">
        <v>328</v>
      </c>
      <c r="B523" t="s">
        <v>157</v>
      </c>
      <c r="C523">
        <v>2002</v>
      </c>
      <c r="D523" s="130">
        <v>10.8</v>
      </c>
      <c r="E523" s="130">
        <v>-9.9999400000000002E-2</v>
      </c>
      <c r="F523" s="130">
        <v>34570</v>
      </c>
      <c r="G523" s="130">
        <v>1.9789E-3</v>
      </c>
      <c r="H523" s="16">
        <v>28000000</v>
      </c>
      <c r="I523">
        <v>1.1054E-2</v>
      </c>
    </row>
    <row r="524" spans="1:9" x14ac:dyDescent="0.25">
      <c r="A524" t="s">
        <v>328</v>
      </c>
      <c r="B524" t="s">
        <v>157</v>
      </c>
      <c r="C524">
        <v>2003</v>
      </c>
      <c r="D524" s="130">
        <v>11.5</v>
      </c>
      <c r="E524" s="130">
        <v>0.69999979999999995</v>
      </c>
      <c r="F524" s="130">
        <v>34634.800000000003</v>
      </c>
      <c r="G524" s="130">
        <v>1.8730000000000001E-3</v>
      </c>
      <c r="H524" s="16">
        <v>28000000</v>
      </c>
      <c r="I524">
        <v>2.4428999999999999E-2</v>
      </c>
    </row>
    <row r="525" spans="1:9" x14ac:dyDescent="0.25">
      <c r="A525" t="s">
        <v>328</v>
      </c>
      <c r="B525" t="s">
        <v>157</v>
      </c>
      <c r="C525">
        <v>2004</v>
      </c>
      <c r="D525" s="130">
        <v>11</v>
      </c>
      <c r="E525" s="130">
        <v>-0.5</v>
      </c>
      <c r="F525" s="130">
        <v>35255.800000000003</v>
      </c>
      <c r="G525" s="130">
        <v>1.77708E-2</v>
      </c>
      <c r="H525" s="16">
        <v>28000000</v>
      </c>
      <c r="I525">
        <v>5.0825999999999996E-3</v>
      </c>
    </row>
    <row r="526" spans="1:9" x14ac:dyDescent="0.25">
      <c r="A526" t="s">
        <v>328</v>
      </c>
      <c r="B526" t="s">
        <v>157</v>
      </c>
      <c r="C526">
        <v>2005</v>
      </c>
      <c r="D526" s="130">
        <v>10.9</v>
      </c>
      <c r="E526" s="130">
        <v>-0.1000004</v>
      </c>
      <c r="F526" s="130">
        <v>35630.300000000003</v>
      </c>
      <c r="G526" s="130">
        <v>1.05667E-2</v>
      </c>
      <c r="H526" s="16">
        <v>29000000</v>
      </c>
      <c r="I526">
        <v>1.3076300000000001E-2</v>
      </c>
    </row>
    <row r="527" spans="1:9" x14ac:dyDescent="0.25">
      <c r="A527" t="s">
        <v>328</v>
      </c>
      <c r="B527" t="s">
        <v>157</v>
      </c>
      <c r="C527">
        <v>2006</v>
      </c>
      <c r="D527" s="130">
        <v>11.4</v>
      </c>
      <c r="E527" s="130">
        <v>0.5</v>
      </c>
      <c r="F527" s="130">
        <v>36255.699999999997</v>
      </c>
      <c r="G527" s="130">
        <v>1.7401699999999999E-2</v>
      </c>
      <c r="H527" s="16">
        <v>29000000</v>
      </c>
      <c r="I527">
        <v>6.3593E-3</v>
      </c>
    </row>
    <row r="528" spans="1:9" x14ac:dyDescent="0.25">
      <c r="A528" t="s">
        <v>328</v>
      </c>
      <c r="B528" t="s">
        <v>157</v>
      </c>
      <c r="C528">
        <v>2007</v>
      </c>
      <c r="D528" s="130">
        <v>11</v>
      </c>
      <c r="E528" s="130">
        <v>-0.39999960000000001</v>
      </c>
      <c r="F528" s="130">
        <v>36855.699999999997</v>
      </c>
      <c r="G528" s="130">
        <v>1.6411800000000001E-2</v>
      </c>
      <c r="H528" s="16">
        <v>29000000</v>
      </c>
      <c r="I528">
        <v>9.358E-3</v>
      </c>
    </row>
    <row r="529" spans="1:9" x14ac:dyDescent="0.25">
      <c r="A529" t="s">
        <v>328</v>
      </c>
      <c r="B529" t="s">
        <v>157</v>
      </c>
      <c r="C529">
        <v>2008</v>
      </c>
      <c r="D529" s="130">
        <v>10.6</v>
      </c>
      <c r="E529" s="130">
        <v>-0.39999960000000001</v>
      </c>
      <c r="F529" s="130">
        <v>36620.800000000003</v>
      </c>
      <c r="G529" s="130">
        <v>-6.3924999999999997E-3</v>
      </c>
      <c r="H529" s="16">
        <v>29000000</v>
      </c>
      <c r="I529">
        <v>8.6540999999999996E-3</v>
      </c>
    </row>
    <row r="530" spans="1:9" x14ac:dyDescent="0.25">
      <c r="A530" t="s">
        <v>328</v>
      </c>
      <c r="B530" t="s">
        <v>157</v>
      </c>
      <c r="C530">
        <v>2009</v>
      </c>
      <c r="D530" s="130">
        <v>11</v>
      </c>
      <c r="E530" s="130">
        <v>0.39999960000000001</v>
      </c>
      <c r="F530" s="130">
        <v>35286.400000000001</v>
      </c>
      <c r="G530" s="130">
        <v>-3.7117999999999998E-2</v>
      </c>
      <c r="H530" s="16">
        <v>30000000</v>
      </c>
      <c r="I530">
        <v>1.0279699999999999E-2</v>
      </c>
    </row>
    <row r="531" spans="1:9" x14ac:dyDescent="0.25">
      <c r="A531" t="s">
        <v>328</v>
      </c>
      <c r="B531" t="s">
        <v>157</v>
      </c>
      <c r="C531">
        <v>2010</v>
      </c>
      <c r="D531" s="130">
        <v>11.5</v>
      </c>
      <c r="E531" s="130">
        <v>0.5</v>
      </c>
      <c r="F531" s="130">
        <v>35713.800000000003</v>
      </c>
      <c r="G531" s="130">
        <v>1.20392E-2</v>
      </c>
      <c r="H531" s="16">
        <v>30000000</v>
      </c>
      <c r="I531">
        <v>6.2729999999999999E-3</v>
      </c>
    </row>
    <row r="532" spans="1:9" x14ac:dyDescent="0.25">
      <c r="A532" t="s">
        <v>328</v>
      </c>
      <c r="B532" t="s">
        <v>157</v>
      </c>
      <c r="C532">
        <v>2011</v>
      </c>
      <c r="D532" s="130">
        <v>11.6</v>
      </c>
      <c r="E532" s="130">
        <v>0.1000004</v>
      </c>
      <c r="F532" s="130">
        <v>36248</v>
      </c>
      <c r="G532" s="130">
        <v>1.4845799999999999E-2</v>
      </c>
      <c r="H532" s="16">
        <v>30000000</v>
      </c>
      <c r="I532">
        <v>2.5146000000000001E-3</v>
      </c>
    </row>
    <row r="533" spans="1:9" x14ac:dyDescent="0.25">
      <c r="A533" t="s">
        <v>328</v>
      </c>
      <c r="B533" t="s">
        <v>157</v>
      </c>
      <c r="C533">
        <v>2012</v>
      </c>
      <c r="D533" s="130">
        <v>11.5</v>
      </c>
      <c r="E533" s="130">
        <v>-0.1000004</v>
      </c>
      <c r="F533" s="130">
        <v>36073.599999999999</v>
      </c>
      <c r="G533" s="130">
        <v>-4.8218000000000002E-3</v>
      </c>
      <c r="H533" s="16">
        <v>30000000</v>
      </c>
      <c r="I533">
        <v>8.5663000000000007E-3</v>
      </c>
    </row>
    <row r="534" spans="1:9" x14ac:dyDescent="0.25">
      <c r="A534" t="s">
        <v>328</v>
      </c>
      <c r="B534" t="s">
        <v>157</v>
      </c>
      <c r="C534">
        <v>2013</v>
      </c>
    </row>
    <row r="535" spans="1:9" x14ac:dyDescent="0.25">
      <c r="A535" t="s">
        <v>441</v>
      </c>
      <c r="B535" t="s">
        <v>166</v>
      </c>
      <c r="C535">
        <v>1990</v>
      </c>
      <c r="D535" s="130">
        <v>13.3</v>
      </c>
      <c r="F535" s="130">
        <v>23924.2</v>
      </c>
      <c r="H535" s="16">
        <v>29000000</v>
      </c>
    </row>
    <row r="536" spans="1:9" x14ac:dyDescent="0.25">
      <c r="A536" t="s">
        <v>441</v>
      </c>
      <c r="B536" t="s">
        <v>166</v>
      </c>
      <c r="C536">
        <v>1991</v>
      </c>
      <c r="D536" s="130">
        <v>13</v>
      </c>
      <c r="E536" s="130">
        <v>-0.30000019999999999</v>
      </c>
      <c r="F536" s="130">
        <v>23542.1</v>
      </c>
      <c r="G536" s="130">
        <v>-1.6100900000000001E-2</v>
      </c>
      <c r="H536" s="16">
        <v>29000000</v>
      </c>
      <c r="I536">
        <v>-4.2724E-3</v>
      </c>
    </row>
    <row r="537" spans="1:9" x14ac:dyDescent="0.25">
      <c r="A537" t="s">
        <v>441</v>
      </c>
      <c r="B537" t="s">
        <v>166</v>
      </c>
      <c r="C537">
        <v>1992</v>
      </c>
      <c r="D537" s="130">
        <v>13.2</v>
      </c>
      <c r="E537" s="130">
        <v>0.19999980000000001</v>
      </c>
      <c r="F537" s="130">
        <v>23782.5</v>
      </c>
      <c r="G537" s="130">
        <v>1.01604E-2</v>
      </c>
      <c r="H537" s="16">
        <v>29000000</v>
      </c>
      <c r="I537">
        <v>-9.7573999999999994E-3</v>
      </c>
    </row>
    <row r="538" spans="1:9" x14ac:dyDescent="0.25">
      <c r="A538" t="s">
        <v>441</v>
      </c>
      <c r="B538" t="s">
        <v>166</v>
      </c>
      <c r="C538">
        <v>1993</v>
      </c>
      <c r="D538" s="130">
        <v>13.1</v>
      </c>
      <c r="E538" s="130">
        <v>-9.9999400000000002E-2</v>
      </c>
      <c r="F538" s="130">
        <v>24553.7</v>
      </c>
      <c r="G538" s="130">
        <v>3.1911799999999997E-2</v>
      </c>
      <c r="H538" s="16">
        <v>29000000</v>
      </c>
      <c r="I538">
        <v>-6.9489E-3</v>
      </c>
    </row>
    <row r="539" spans="1:9" x14ac:dyDescent="0.25">
      <c r="A539" t="s">
        <v>441</v>
      </c>
      <c r="B539" t="s">
        <v>166</v>
      </c>
      <c r="C539">
        <v>1994</v>
      </c>
      <c r="D539" s="130">
        <v>13.4</v>
      </c>
      <c r="E539" s="130">
        <v>0.29999920000000002</v>
      </c>
      <c r="F539" s="130">
        <v>25704.400000000001</v>
      </c>
      <c r="G539" s="130">
        <v>4.5800199999999999E-2</v>
      </c>
      <c r="H539" s="16">
        <v>29000000</v>
      </c>
      <c r="I539">
        <v>-1.6579999999999999E-4</v>
      </c>
    </row>
    <row r="540" spans="1:9" x14ac:dyDescent="0.25">
      <c r="A540" t="s">
        <v>441</v>
      </c>
      <c r="B540" t="s">
        <v>166</v>
      </c>
      <c r="C540">
        <v>1995</v>
      </c>
      <c r="D540" s="130">
        <v>13.5</v>
      </c>
      <c r="E540" s="130">
        <v>0.1000004</v>
      </c>
      <c r="F540" s="130">
        <v>26542.3</v>
      </c>
      <c r="G540" s="130">
        <v>3.2078700000000002E-2</v>
      </c>
      <c r="H540" s="16">
        <v>29000000</v>
      </c>
      <c r="I540">
        <v>-1.1325E-3</v>
      </c>
    </row>
    <row r="541" spans="1:9" x14ac:dyDescent="0.25">
      <c r="A541" t="s">
        <v>441</v>
      </c>
      <c r="B541" t="s">
        <v>166</v>
      </c>
      <c r="C541">
        <v>1996</v>
      </c>
      <c r="D541" s="130">
        <v>13</v>
      </c>
      <c r="E541" s="130">
        <v>-0.5</v>
      </c>
      <c r="F541" s="130">
        <v>27399.200000000001</v>
      </c>
      <c r="G541" s="130">
        <v>3.1770699999999999E-2</v>
      </c>
      <c r="H541" s="16">
        <v>29000000</v>
      </c>
      <c r="I541">
        <v>5.7727999999999998E-3</v>
      </c>
    </row>
    <row r="542" spans="1:9" x14ac:dyDescent="0.25">
      <c r="A542" t="s">
        <v>441</v>
      </c>
      <c r="B542" t="s">
        <v>166</v>
      </c>
      <c r="C542">
        <v>1997</v>
      </c>
      <c r="D542" s="130">
        <v>13</v>
      </c>
      <c r="E542" s="130">
        <v>0</v>
      </c>
      <c r="F542" s="130">
        <v>28517.599999999999</v>
      </c>
      <c r="G542" s="130">
        <v>4.0009500000000003E-2</v>
      </c>
      <c r="H542" s="16">
        <v>29000000</v>
      </c>
      <c r="I542">
        <v>4.8066000000000003E-3</v>
      </c>
    </row>
    <row r="543" spans="1:9" x14ac:dyDescent="0.25">
      <c r="A543" t="s">
        <v>441</v>
      </c>
      <c r="B543" t="s">
        <v>166</v>
      </c>
      <c r="C543">
        <v>1998</v>
      </c>
      <c r="D543" s="130">
        <v>12.5</v>
      </c>
      <c r="E543" s="130">
        <v>-0.5</v>
      </c>
      <c r="F543" s="130">
        <v>29448.9</v>
      </c>
      <c r="G543" s="130">
        <v>3.2134999999999997E-2</v>
      </c>
      <c r="H543" s="16">
        <v>29000000</v>
      </c>
      <c r="I543">
        <v>8.8279999999999999E-4</v>
      </c>
    </row>
    <row r="544" spans="1:9" x14ac:dyDescent="0.25">
      <c r="A544" t="s">
        <v>441</v>
      </c>
      <c r="B544" t="s">
        <v>166</v>
      </c>
      <c r="C544">
        <v>1999</v>
      </c>
      <c r="D544" s="130">
        <v>12.6</v>
      </c>
      <c r="E544" s="130">
        <v>0.1000004</v>
      </c>
      <c r="F544" s="130">
        <v>30213.3</v>
      </c>
      <c r="G544" s="130">
        <v>2.5626199999999998E-2</v>
      </c>
      <c r="H544" s="16">
        <v>29000000</v>
      </c>
      <c r="I544">
        <v>1.14667E-2</v>
      </c>
    </row>
    <row r="545" spans="1:9" x14ac:dyDescent="0.25">
      <c r="A545" t="s">
        <v>441</v>
      </c>
      <c r="B545" t="s">
        <v>166</v>
      </c>
      <c r="C545">
        <v>2000</v>
      </c>
      <c r="D545" s="130">
        <v>12.3</v>
      </c>
      <c r="E545" s="130">
        <v>-0.30000019999999999</v>
      </c>
      <c r="F545" s="130">
        <v>31418.799999999999</v>
      </c>
      <c r="G545" s="130">
        <v>3.91245E-2</v>
      </c>
      <c r="H545" s="16">
        <v>30000000</v>
      </c>
      <c r="I545">
        <v>7.2931000000000003E-3</v>
      </c>
    </row>
    <row r="546" spans="1:9" x14ac:dyDescent="0.25">
      <c r="A546" t="s">
        <v>441</v>
      </c>
      <c r="B546" t="s">
        <v>166</v>
      </c>
      <c r="C546">
        <v>2001</v>
      </c>
      <c r="D546" s="130">
        <v>12.2</v>
      </c>
      <c r="E546" s="130">
        <v>-0.1000004</v>
      </c>
      <c r="F546" s="130">
        <v>31988.3</v>
      </c>
      <c r="G546" s="130">
        <v>1.7961499999999998E-2</v>
      </c>
      <c r="H546" s="16">
        <v>30000000</v>
      </c>
      <c r="I546">
        <v>1.2661E-3</v>
      </c>
    </row>
    <row r="547" spans="1:9" x14ac:dyDescent="0.25">
      <c r="A547" t="s">
        <v>441</v>
      </c>
      <c r="B547" t="s">
        <v>166</v>
      </c>
      <c r="C547">
        <v>2002</v>
      </c>
      <c r="D547" s="130">
        <v>12.3</v>
      </c>
      <c r="E547" s="130">
        <v>0.1000004</v>
      </c>
      <c r="F547" s="130">
        <v>32582.400000000001</v>
      </c>
      <c r="G547" s="130">
        <v>1.8403099999999999E-2</v>
      </c>
      <c r="H547" s="16">
        <v>30000000</v>
      </c>
      <c r="I547">
        <v>1.04799E-2</v>
      </c>
    </row>
    <row r="548" spans="1:9" x14ac:dyDescent="0.25">
      <c r="A548" t="s">
        <v>441</v>
      </c>
      <c r="B548" t="s">
        <v>166</v>
      </c>
      <c r="C548">
        <v>2003</v>
      </c>
      <c r="D548" s="130">
        <v>12.8</v>
      </c>
      <c r="E548" s="130">
        <v>0.5</v>
      </c>
      <c r="F548" s="130">
        <v>33712.5</v>
      </c>
      <c r="G548" s="130">
        <v>3.4096700000000001E-2</v>
      </c>
      <c r="H548" s="16">
        <v>30000000</v>
      </c>
      <c r="I548">
        <v>9.3629000000000004E-3</v>
      </c>
    </row>
    <row r="549" spans="1:9" x14ac:dyDescent="0.25">
      <c r="A549" t="s">
        <v>441</v>
      </c>
      <c r="B549" t="s">
        <v>166</v>
      </c>
      <c r="C549">
        <v>2004</v>
      </c>
      <c r="D549" s="130">
        <v>13.1</v>
      </c>
      <c r="E549" s="130">
        <v>0.30000019999999999</v>
      </c>
      <c r="F549" s="130">
        <v>34584.699999999997</v>
      </c>
      <c r="G549" s="130">
        <v>2.5543199999999999E-2</v>
      </c>
      <c r="H549" s="16">
        <v>30000000</v>
      </c>
      <c r="I549">
        <v>8.6426999999999997E-3</v>
      </c>
    </row>
    <row r="550" spans="1:9" x14ac:dyDescent="0.25">
      <c r="A550" t="s">
        <v>441</v>
      </c>
      <c r="B550" t="s">
        <v>166</v>
      </c>
      <c r="C550">
        <v>2005</v>
      </c>
      <c r="D550" s="130">
        <v>13</v>
      </c>
      <c r="E550" s="130">
        <v>-0.1000004</v>
      </c>
      <c r="F550" s="130">
        <v>35461.300000000003</v>
      </c>
      <c r="G550" s="130">
        <v>2.5029200000000001E-2</v>
      </c>
      <c r="H550" s="16">
        <v>31000000</v>
      </c>
      <c r="I550">
        <v>9.4122000000000008E-3</v>
      </c>
    </row>
    <row r="551" spans="1:9" x14ac:dyDescent="0.25">
      <c r="A551" t="s">
        <v>441</v>
      </c>
      <c r="B551" t="s">
        <v>166</v>
      </c>
      <c r="C551">
        <v>2006</v>
      </c>
      <c r="D551" s="130">
        <v>13.2</v>
      </c>
      <c r="E551" s="130">
        <v>0.19999980000000001</v>
      </c>
      <c r="F551" s="130">
        <v>36174.400000000001</v>
      </c>
      <c r="G551" s="130">
        <v>1.9910799999999999E-2</v>
      </c>
      <c r="H551" s="16">
        <v>31000000</v>
      </c>
      <c r="I551">
        <v>1.7953199999999999E-2</v>
      </c>
    </row>
    <row r="552" spans="1:9" x14ac:dyDescent="0.25">
      <c r="A552" t="s">
        <v>441</v>
      </c>
      <c r="B552" t="s">
        <v>166</v>
      </c>
      <c r="C552">
        <v>2007</v>
      </c>
      <c r="D552" s="130">
        <v>13.4</v>
      </c>
      <c r="E552" s="130">
        <v>0.19999980000000001</v>
      </c>
      <c r="F552" s="130">
        <v>37128.199999999997</v>
      </c>
      <c r="G552" s="130">
        <v>2.6025800000000002E-2</v>
      </c>
      <c r="H552" s="16">
        <v>31000000</v>
      </c>
      <c r="I552">
        <v>4.3229999999999996E-3</v>
      </c>
    </row>
    <row r="553" spans="1:9" x14ac:dyDescent="0.25">
      <c r="A553" t="s">
        <v>441</v>
      </c>
      <c r="B553" t="s">
        <v>166</v>
      </c>
      <c r="C553">
        <v>2008</v>
      </c>
      <c r="D553" s="130">
        <v>13.3</v>
      </c>
      <c r="E553" s="130">
        <v>-9.9999400000000002E-2</v>
      </c>
      <c r="F553" s="130">
        <v>36558.1</v>
      </c>
      <c r="G553" s="130">
        <v>-1.5475300000000001E-2</v>
      </c>
      <c r="H553" s="16">
        <v>32000000</v>
      </c>
      <c r="I553">
        <v>1.4379400000000001E-2</v>
      </c>
    </row>
    <row r="554" spans="1:9" x14ac:dyDescent="0.25">
      <c r="A554" t="s">
        <v>441</v>
      </c>
      <c r="B554" t="s">
        <v>166</v>
      </c>
      <c r="C554">
        <v>2009</v>
      </c>
      <c r="D554" s="130">
        <v>13.6</v>
      </c>
      <c r="E554" s="130">
        <v>0.30000019999999999</v>
      </c>
      <c r="F554" s="130">
        <v>34408.9</v>
      </c>
      <c r="G554" s="130">
        <v>-6.0586000000000001E-2</v>
      </c>
      <c r="H554" s="16">
        <v>32000000</v>
      </c>
      <c r="I554">
        <v>5.2134E-3</v>
      </c>
    </row>
    <row r="555" spans="1:9" x14ac:dyDescent="0.25">
      <c r="A555" t="s">
        <v>441</v>
      </c>
      <c r="B555" t="s">
        <v>166</v>
      </c>
      <c r="C555">
        <v>2010</v>
      </c>
      <c r="D555" s="130">
        <v>14</v>
      </c>
      <c r="E555" s="130">
        <v>0.39999960000000001</v>
      </c>
      <c r="F555" s="130">
        <v>34696.199999999997</v>
      </c>
      <c r="G555" s="130">
        <v>8.3140999999999996E-3</v>
      </c>
      <c r="H555" s="16">
        <v>32000000</v>
      </c>
      <c r="I555">
        <v>3.9845999999999996E-3</v>
      </c>
    </row>
    <row r="556" spans="1:9" x14ac:dyDescent="0.25">
      <c r="A556" t="s">
        <v>441</v>
      </c>
      <c r="B556" t="s">
        <v>166</v>
      </c>
      <c r="C556">
        <v>2011</v>
      </c>
      <c r="D556" s="130">
        <v>14.2</v>
      </c>
      <c r="E556" s="130">
        <v>0.19999980000000001</v>
      </c>
      <c r="F556" s="130">
        <v>34799.9</v>
      </c>
      <c r="G556" s="130">
        <v>2.9840000000000001E-3</v>
      </c>
      <c r="H556" s="16">
        <v>32000000</v>
      </c>
      <c r="I556">
        <v>9.1461000000000008E-3</v>
      </c>
    </row>
    <row r="557" spans="1:9" x14ac:dyDescent="0.25">
      <c r="A557" t="s">
        <v>441</v>
      </c>
      <c r="B557" t="s">
        <v>166</v>
      </c>
      <c r="C557">
        <v>2012</v>
      </c>
      <c r="D557" s="130">
        <v>14.6</v>
      </c>
      <c r="E557" s="130">
        <v>0.40000059999999998</v>
      </c>
      <c r="F557" s="130">
        <v>34693.9</v>
      </c>
      <c r="G557" s="130">
        <v>-3.0508000000000002E-3</v>
      </c>
      <c r="H557" s="16">
        <v>33000000</v>
      </c>
      <c r="I557">
        <v>9.7853000000000002E-3</v>
      </c>
    </row>
    <row r="558" spans="1:9" x14ac:dyDescent="0.25">
      <c r="A558" t="s">
        <v>441</v>
      </c>
      <c r="B558" t="s">
        <v>166</v>
      </c>
      <c r="C558">
        <v>2013</v>
      </c>
    </row>
    <row r="559" spans="1:9" x14ac:dyDescent="0.25">
      <c r="A559" t="s">
        <v>332</v>
      </c>
      <c r="B559" t="s">
        <v>79</v>
      </c>
      <c r="C559">
        <v>1998</v>
      </c>
      <c r="D559" s="130">
        <v>56</v>
      </c>
      <c r="F559" s="130">
        <v>3079.24</v>
      </c>
      <c r="H559" s="16">
        <v>2300000</v>
      </c>
    </row>
    <row r="560" spans="1:9" x14ac:dyDescent="0.25">
      <c r="A560" t="s">
        <v>332</v>
      </c>
      <c r="B560" t="s">
        <v>79</v>
      </c>
      <c r="C560">
        <v>1999</v>
      </c>
      <c r="D560" s="130">
        <v>56.700001</v>
      </c>
      <c r="E560" s="130">
        <v>0.70000079999999998</v>
      </c>
      <c r="F560" s="130">
        <v>3192.35</v>
      </c>
      <c r="G560" s="130">
        <v>3.6074599999999998E-2</v>
      </c>
      <c r="H560" s="16">
        <v>2300000</v>
      </c>
      <c r="I560">
        <v>-4.0787000000000002E-3</v>
      </c>
    </row>
    <row r="561" spans="1:9" x14ac:dyDescent="0.25">
      <c r="A561" t="s">
        <v>332</v>
      </c>
      <c r="B561" t="s">
        <v>79</v>
      </c>
      <c r="C561">
        <v>2000</v>
      </c>
      <c r="D561" s="130">
        <v>62</v>
      </c>
      <c r="E561" s="130">
        <v>5.2999989999999997</v>
      </c>
      <c r="F561" s="130">
        <v>3276.2</v>
      </c>
      <c r="G561" s="130">
        <v>2.5926600000000001E-2</v>
      </c>
      <c r="H561" s="16">
        <v>2200000</v>
      </c>
      <c r="I561">
        <v>-3.3296100000000002E-2</v>
      </c>
    </row>
    <row r="562" spans="1:9" x14ac:dyDescent="0.25">
      <c r="A562" t="s">
        <v>332</v>
      </c>
      <c r="B562" t="s">
        <v>79</v>
      </c>
      <c r="C562">
        <v>2001</v>
      </c>
      <c r="D562" s="130">
        <v>64.300003000000004</v>
      </c>
      <c r="E562" s="130">
        <v>2.3000029999999998</v>
      </c>
      <c r="F562" s="130">
        <v>3458.61</v>
      </c>
      <c r="G562" s="130">
        <v>5.4182099999999997E-2</v>
      </c>
      <c r="H562" s="16">
        <v>2300000</v>
      </c>
      <c r="I562">
        <v>3.7844799999999998E-2</v>
      </c>
    </row>
    <row r="563" spans="1:9" x14ac:dyDescent="0.25">
      <c r="A563" t="s">
        <v>332</v>
      </c>
      <c r="B563" t="s">
        <v>79</v>
      </c>
      <c r="C563">
        <v>2002</v>
      </c>
      <c r="D563" s="130">
        <v>64.400002000000001</v>
      </c>
      <c r="E563" s="130">
        <v>9.9998500000000004E-2</v>
      </c>
      <c r="F563" s="130">
        <v>3672.54</v>
      </c>
      <c r="G563" s="130">
        <v>6.0017599999999997E-2</v>
      </c>
      <c r="H563" s="16">
        <v>2200000</v>
      </c>
      <c r="I563">
        <v>-2.9033799999999998E-2</v>
      </c>
    </row>
    <row r="564" spans="1:9" x14ac:dyDescent="0.25">
      <c r="A564" t="s">
        <v>332</v>
      </c>
      <c r="B564" t="s">
        <v>79</v>
      </c>
      <c r="C564">
        <v>2003</v>
      </c>
      <c r="D564" s="130">
        <v>65.800003000000004</v>
      </c>
      <c r="E564" s="130">
        <v>1.400002</v>
      </c>
      <c r="F564" s="130">
        <v>4105.13</v>
      </c>
      <c r="G564" s="130">
        <v>0.11135390000000001</v>
      </c>
      <c r="H564" s="16">
        <v>2300000</v>
      </c>
      <c r="I564">
        <v>2.1514100000000001E-2</v>
      </c>
    </row>
    <row r="565" spans="1:9" x14ac:dyDescent="0.25">
      <c r="A565" t="s">
        <v>332</v>
      </c>
      <c r="B565" t="s">
        <v>79</v>
      </c>
      <c r="C565">
        <v>2004</v>
      </c>
      <c r="D565" s="130">
        <v>66.199996999999996</v>
      </c>
      <c r="E565" s="130">
        <v>0.39999390000000001</v>
      </c>
      <c r="F565" s="130">
        <v>4356.25</v>
      </c>
      <c r="G565" s="130">
        <v>5.93739E-2</v>
      </c>
      <c r="H565" s="16">
        <v>2200000</v>
      </c>
      <c r="I565">
        <v>-1.34424E-2</v>
      </c>
    </row>
    <row r="566" spans="1:9" x14ac:dyDescent="0.25">
      <c r="A566" t="s">
        <v>332</v>
      </c>
      <c r="B566" t="s">
        <v>79</v>
      </c>
      <c r="C566">
        <v>2005</v>
      </c>
      <c r="D566" s="130">
        <v>65.300003000000004</v>
      </c>
      <c r="E566" s="130">
        <v>-0.89999390000000001</v>
      </c>
      <c r="F566" s="130">
        <v>4727.25</v>
      </c>
      <c r="G566" s="130">
        <v>8.1732700000000005E-2</v>
      </c>
      <c r="H566" s="16">
        <v>2300000</v>
      </c>
      <c r="I566">
        <v>1.4086599999999999E-2</v>
      </c>
    </row>
    <row r="567" spans="1:9" x14ac:dyDescent="0.25">
      <c r="A567" t="s">
        <v>332</v>
      </c>
      <c r="B567" t="s">
        <v>79</v>
      </c>
      <c r="C567">
        <v>2006</v>
      </c>
      <c r="D567" s="130">
        <v>65.300003000000004</v>
      </c>
      <c r="E567" s="130">
        <v>0</v>
      </c>
      <c r="F567" s="130">
        <v>5127.79</v>
      </c>
      <c r="G567" s="130">
        <v>8.1330299999999994E-2</v>
      </c>
      <c r="H567" s="16">
        <v>2300000</v>
      </c>
      <c r="I567">
        <v>1.2483299999999999E-2</v>
      </c>
    </row>
    <row r="568" spans="1:9" x14ac:dyDescent="0.25">
      <c r="A568" t="s">
        <v>332</v>
      </c>
      <c r="B568" t="s">
        <v>79</v>
      </c>
      <c r="C568">
        <v>2007</v>
      </c>
      <c r="D568" s="130">
        <v>63.299999</v>
      </c>
      <c r="E568" s="130">
        <v>-2.0000040000000001</v>
      </c>
      <c r="F568" s="130">
        <v>5773.37</v>
      </c>
      <c r="G568" s="130">
        <v>0.1185808</v>
      </c>
      <c r="H568" s="16">
        <v>2300000</v>
      </c>
      <c r="I568">
        <v>2.341E-4</v>
      </c>
    </row>
    <row r="569" spans="1:9" x14ac:dyDescent="0.25">
      <c r="A569" t="s">
        <v>332</v>
      </c>
      <c r="B569" t="s">
        <v>79</v>
      </c>
      <c r="C569">
        <v>2008</v>
      </c>
      <c r="D569" s="130">
        <v>64.199996999999996</v>
      </c>
      <c r="E569" s="130">
        <v>0.89999770000000001</v>
      </c>
      <c r="F569" s="130">
        <v>5913.16</v>
      </c>
      <c r="G569" s="130">
        <v>2.3925800000000001E-2</v>
      </c>
      <c r="H569" s="16">
        <v>2300000</v>
      </c>
      <c r="I569">
        <v>2.9104000000000001E-3</v>
      </c>
    </row>
    <row r="570" spans="1:9" x14ac:dyDescent="0.25">
      <c r="A570" t="s">
        <v>332</v>
      </c>
      <c r="B570" t="s">
        <v>79</v>
      </c>
      <c r="C570">
        <v>2009</v>
      </c>
      <c r="D570" s="130">
        <v>63.900002000000001</v>
      </c>
      <c r="E570" s="130">
        <v>-0.29999540000000002</v>
      </c>
      <c r="F570" s="130">
        <v>5654.94</v>
      </c>
      <c r="G570" s="130">
        <v>-4.4651999999999997E-2</v>
      </c>
      <c r="H570" s="16">
        <v>2300000</v>
      </c>
      <c r="I570">
        <v>1.20178E-2</v>
      </c>
    </row>
    <row r="571" spans="1:9" x14ac:dyDescent="0.25">
      <c r="A571" t="s">
        <v>332</v>
      </c>
      <c r="B571" t="s">
        <v>79</v>
      </c>
      <c r="C571">
        <v>2010</v>
      </c>
      <c r="D571" s="130">
        <v>61.900002000000001</v>
      </c>
      <c r="E571" s="130">
        <v>-2</v>
      </c>
      <c r="F571" s="130">
        <v>5952</v>
      </c>
      <c r="G571" s="130">
        <v>5.1199000000000001E-2</v>
      </c>
      <c r="H571" s="16">
        <v>2400000</v>
      </c>
      <c r="I571">
        <v>1.2709E-2</v>
      </c>
    </row>
    <row r="572" spans="1:9" x14ac:dyDescent="0.25">
      <c r="A572" t="s">
        <v>332</v>
      </c>
      <c r="B572" t="s">
        <v>79</v>
      </c>
      <c r="C572">
        <v>2011</v>
      </c>
      <c r="D572" s="130">
        <v>61.599997999999999</v>
      </c>
      <c r="E572" s="130">
        <v>-0.30000310000000002</v>
      </c>
      <c r="F572" s="130">
        <v>6322.43</v>
      </c>
      <c r="G572" s="130">
        <v>6.0375199999999997E-2</v>
      </c>
      <c r="H572" s="16">
        <v>2400000</v>
      </c>
      <c r="I572">
        <v>1.0545499999999999E-2</v>
      </c>
    </row>
    <row r="573" spans="1:9" x14ac:dyDescent="0.25">
      <c r="A573" t="s">
        <v>332</v>
      </c>
      <c r="B573" t="s">
        <v>79</v>
      </c>
      <c r="C573">
        <v>2012</v>
      </c>
      <c r="D573" s="130">
        <v>61.099997999999999</v>
      </c>
      <c r="E573" s="130">
        <v>-0.5</v>
      </c>
      <c r="F573" s="130">
        <v>6690.88</v>
      </c>
      <c r="G573" s="130">
        <v>5.66416E-2</v>
      </c>
      <c r="H573" s="16">
        <v>2400000</v>
      </c>
      <c r="I573">
        <v>5.5913999999999998E-3</v>
      </c>
    </row>
    <row r="574" spans="1:9" x14ac:dyDescent="0.25">
      <c r="A574" t="s">
        <v>332</v>
      </c>
      <c r="B574" t="s">
        <v>79</v>
      </c>
      <c r="C574">
        <v>2013</v>
      </c>
    </row>
    <row r="575" spans="1:9" x14ac:dyDescent="0.25">
      <c r="A575" t="s">
        <v>335</v>
      </c>
      <c r="B575" t="s">
        <v>147</v>
      </c>
      <c r="C575">
        <v>1990</v>
      </c>
      <c r="D575" s="130">
        <v>47.599997999999999</v>
      </c>
      <c r="F575" s="130">
        <v>20676.599999999999</v>
      </c>
      <c r="H575" s="16">
        <v>4200000</v>
      </c>
    </row>
    <row r="576" spans="1:9" x14ac:dyDescent="0.25">
      <c r="A576" t="s">
        <v>335</v>
      </c>
      <c r="B576" t="s">
        <v>147</v>
      </c>
      <c r="C576">
        <v>1991</v>
      </c>
      <c r="D576" s="130">
        <v>46.799999</v>
      </c>
      <c r="E576" s="130">
        <v>-0.79999920000000002</v>
      </c>
      <c r="F576" s="130">
        <v>21111</v>
      </c>
      <c r="G576" s="130">
        <v>2.0792000000000001E-2</v>
      </c>
      <c r="H576" s="16">
        <v>4100000</v>
      </c>
      <c r="I576">
        <v>-1.1867000000000001E-2</v>
      </c>
    </row>
    <row r="577" spans="1:9" x14ac:dyDescent="0.25">
      <c r="A577" t="s">
        <v>335</v>
      </c>
      <c r="B577" t="s">
        <v>147</v>
      </c>
      <c r="C577">
        <v>1992</v>
      </c>
      <c r="D577" s="130">
        <v>47.400002000000001</v>
      </c>
      <c r="E577" s="130">
        <v>0.60000229999999999</v>
      </c>
      <c r="F577" s="130">
        <v>21025.9</v>
      </c>
      <c r="G577" s="130">
        <v>-4.0378999999999996E-3</v>
      </c>
      <c r="H577" s="16">
        <v>4300000</v>
      </c>
      <c r="I577">
        <v>2.9480900000000001E-2</v>
      </c>
    </row>
    <row r="578" spans="1:9" x14ac:dyDescent="0.25">
      <c r="A578" t="s">
        <v>335</v>
      </c>
      <c r="B578" t="s">
        <v>147</v>
      </c>
      <c r="C578">
        <v>1993</v>
      </c>
      <c r="D578" s="130">
        <v>46.700001</v>
      </c>
      <c r="E578" s="130">
        <v>-0.70000079999999998</v>
      </c>
      <c r="F578" s="130">
        <v>20500.400000000001</v>
      </c>
      <c r="G578" s="130">
        <v>-2.5311500000000001E-2</v>
      </c>
      <c r="H578" s="16">
        <v>4300000</v>
      </c>
      <c r="I578">
        <v>1.5874300000000001E-2</v>
      </c>
    </row>
    <row r="579" spans="1:9" x14ac:dyDescent="0.25">
      <c r="A579" t="s">
        <v>335</v>
      </c>
      <c r="B579" t="s">
        <v>147</v>
      </c>
      <c r="C579">
        <v>1994</v>
      </c>
      <c r="D579" s="130">
        <v>46.700001</v>
      </c>
      <c r="E579" s="130">
        <v>0</v>
      </c>
      <c r="F579" s="130">
        <v>20737</v>
      </c>
      <c r="G579" s="130">
        <v>1.1475600000000001E-2</v>
      </c>
      <c r="H579" s="16">
        <v>4400000</v>
      </c>
      <c r="I579">
        <v>2.3190599999999999E-2</v>
      </c>
    </row>
    <row r="580" spans="1:9" x14ac:dyDescent="0.25">
      <c r="A580" t="s">
        <v>335</v>
      </c>
      <c r="B580" t="s">
        <v>147</v>
      </c>
      <c r="C580">
        <v>1995</v>
      </c>
      <c r="D580" s="130">
        <v>46.099997999999999</v>
      </c>
      <c r="E580" s="130">
        <v>-0.60000229999999999</v>
      </c>
      <c r="F580" s="130">
        <v>21010.5</v>
      </c>
      <c r="G580" s="130">
        <v>1.31006E-2</v>
      </c>
      <c r="H580" s="16">
        <v>4500000</v>
      </c>
      <c r="I580">
        <v>2.2341099999999999E-2</v>
      </c>
    </row>
    <row r="581" spans="1:9" x14ac:dyDescent="0.25">
      <c r="A581" t="s">
        <v>335</v>
      </c>
      <c r="B581" t="s">
        <v>147</v>
      </c>
      <c r="C581">
        <v>1996</v>
      </c>
      <c r="D581" s="130">
        <v>45.700001</v>
      </c>
      <c r="E581" s="130">
        <v>-0.39999770000000001</v>
      </c>
      <c r="F581" s="130">
        <v>21355.8</v>
      </c>
      <c r="G581" s="130">
        <v>1.63021E-2</v>
      </c>
      <c r="H581" s="16">
        <v>4600000</v>
      </c>
      <c r="I581">
        <v>2.7753199999999999E-2</v>
      </c>
    </row>
    <row r="582" spans="1:9" x14ac:dyDescent="0.25">
      <c r="A582" t="s">
        <v>335</v>
      </c>
      <c r="B582" t="s">
        <v>147</v>
      </c>
      <c r="C582">
        <v>1997</v>
      </c>
      <c r="D582" s="130">
        <v>45.200001</v>
      </c>
      <c r="E582" s="130">
        <v>-0.5</v>
      </c>
      <c r="F582" s="130">
        <v>21994.400000000001</v>
      </c>
      <c r="G582" s="130">
        <v>2.9462800000000001E-2</v>
      </c>
      <c r="H582" s="16">
        <v>4700000</v>
      </c>
      <c r="I582">
        <v>7.3096999999999997E-3</v>
      </c>
    </row>
    <row r="583" spans="1:9" x14ac:dyDescent="0.25">
      <c r="A583" t="s">
        <v>335</v>
      </c>
      <c r="B583" t="s">
        <v>147</v>
      </c>
      <c r="C583">
        <v>1998</v>
      </c>
      <c r="D583" s="130">
        <v>43.599997999999999</v>
      </c>
      <c r="E583" s="130">
        <v>-1.6000019999999999</v>
      </c>
      <c r="F583" s="130">
        <v>22611.7</v>
      </c>
      <c r="G583" s="130">
        <v>2.7681399999999998E-2</v>
      </c>
      <c r="H583" s="16">
        <v>4800000</v>
      </c>
      <c r="I583">
        <v>2.9826800000000001E-2</v>
      </c>
    </row>
    <row r="584" spans="1:9" x14ac:dyDescent="0.25">
      <c r="A584" t="s">
        <v>335</v>
      </c>
      <c r="B584" t="s">
        <v>147</v>
      </c>
      <c r="C584">
        <v>1999</v>
      </c>
      <c r="D584" s="130">
        <v>42.099997999999999</v>
      </c>
      <c r="E584" s="130">
        <v>-1.5</v>
      </c>
      <c r="F584" s="130">
        <v>23282.400000000001</v>
      </c>
      <c r="G584" s="130">
        <v>2.92292E-2</v>
      </c>
      <c r="H584" s="16">
        <v>4800000</v>
      </c>
      <c r="I584">
        <v>1.32319E-2</v>
      </c>
    </row>
    <row r="585" spans="1:9" x14ac:dyDescent="0.25">
      <c r="A585" t="s">
        <v>335</v>
      </c>
      <c r="B585" t="s">
        <v>147</v>
      </c>
      <c r="C585">
        <v>2000</v>
      </c>
      <c r="D585" s="130">
        <v>42</v>
      </c>
      <c r="E585" s="130">
        <v>-9.9998500000000004E-2</v>
      </c>
      <c r="F585" s="130">
        <v>24247.1</v>
      </c>
      <c r="G585" s="130">
        <v>4.05989E-2</v>
      </c>
      <c r="H585" s="16">
        <v>4900000</v>
      </c>
      <c r="I585">
        <v>7.1703000000000001E-3</v>
      </c>
    </row>
    <row r="586" spans="1:9" x14ac:dyDescent="0.25">
      <c r="A586" t="s">
        <v>335</v>
      </c>
      <c r="B586" t="s">
        <v>147</v>
      </c>
      <c r="C586">
        <v>2001</v>
      </c>
      <c r="D586" s="130">
        <v>39.900002000000001</v>
      </c>
      <c r="E586" s="130">
        <v>-2.0999979999999998</v>
      </c>
      <c r="F586" s="130">
        <v>25189.8</v>
      </c>
      <c r="G586" s="130">
        <v>3.8145100000000001E-2</v>
      </c>
      <c r="H586" s="16">
        <v>4800000</v>
      </c>
      <c r="I586">
        <v>-1.34279E-2</v>
      </c>
    </row>
    <row r="587" spans="1:9" x14ac:dyDescent="0.25">
      <c r="A587" t="s">
        <v>335</v>
      </c>
      <c r="B587" t="s">
        <v>147</v>
      </c>
      <c r="C587">
        <v>2002</v>
      </c>
      <c r="D587" s="130">
        <v>39.299999</v>
      </c>
      <c r="E587" s="130">
        <v>-0.60000229999999999</v>
      </c>
      <c r="F587" s="130">
        <v>25967.1</v>
      </c>
      <c r="G587" s="130">
        <v>3.0388800000000001E-2</v>
      </c>
      <c r="H587" s="16">
        <v>4900000</v>
      </c>
      <c r="I587">
        <v>1.5648100000000002E-2</v>
      </c>
    </row>
    <row r="588" spans="1:9" x14ac:dyDescent="0.25">
      <c r="A588" t="s">
        <v>335</v>
      </c>
      <c r="B588" t="s">
        <v>147</v>
      </c>
      <c r="C588">
        <v>2003</v>
      </c>
      <c r="D588" s="130">
        <v>39</v>
      </c>
      <c r="E588" s="130">
        <v>-0.29999920000000002</v>
      </c>
      <c r="F588" s="130">
        <v>27420.7</v>
      </c>
      <c r="G588" s="130">
        <v>5.44701E-2</v>
      </c>
      <c r="H588" s="16">
        <v>5000000</v>
      </c>
      <c r="I588">
        <v>1.73974E-2</v>
      </c>
    </row>
    <row r="589" spans="1:9" x14ac:dyDescent="0.25">
      <c r="A589" t="s">
        <v>335</v>
      </c>
      <c r="B589" t="s">
        <v>147</v>
      </c>
      <c r="C589">
        <v>2004</v>
      </c>
      <c r="D589" s="130">
        <v>36.599997999999999</v>
      </c>
      <c r="E589" s="130">
        <v>-2.4000020000000002</v>
      </c>
      <c r="F589" s="130">
        <v>28519.599999999999</v>
      </c>
      <c r="G589" s="130">
        <v>3.9291399999999997E-2</v>
      </c>
      <c r="H589" s="16">
        <v>5000000</v>
      </c>
      <c r="I589">
        <v>1.9447800000000001E-2</v>
      </c>
    </row>
    <row r="590" spans="1:9" x14ac:dyDescent="0.25">
      <c r="A590" t="s">
        <v>335</v>
      </c>
      <c r="B590" t="s">
        <v>147</v>
      </c>
      <c r="C590">
        <v>2005</v>
      </c>
      <c r="D590" s="130">
        <v>36.400002000000001</v>
      </c>
      <c r="E590" s="130">
        <v>-0.19999690000000001</v>
      </c>
      <c r="F590" s="130">
        <v>29058.9</v>
      </c>
      <c r="G590" s="130">
        <v>1.8733E-2</v>
      </c>
      <c r="H590" s="16">
        <v>5100000</v>
      </c>
      <c r="I590">
        <v>5.7337999999999998E-3</v>
      </c>
    </row>
    <row r="591" spans="1:9" x14ac:dyDescent="0.25">
      <c r="A591" t="s">
        <v>335</v>
      </c>
      <c r="B591" t="s">
        <v>147</v>
      </c>
      <c r="C591">
        <v>2006</v>
      </c>
      <c r="D591" s="130">
        <v>36.400002000000001</v>
      </c>
      <c r="E591" s="130">
        <v>0</v>
      </c>
      <c r="F591" s="130">
        <v>30537</v>
      </c>
      <c r="G591" s="130">
        <v>4.9612999999999997E-2</v>
      </c>
      <c r="H591" s="16">
        <v>5100000</v>
      </c>
      <c r="I591">
        <v>1.21329E-2</v>
      </c>
    </row>
    <row r="592" spans="1:9" x14ac:dyDescent="0.25">
      <c r="A592" t="s">
        <v>335</v>
      </c>
      <c r="B592" t="s">
        <v>147</v>
      </c>
      <c r="C592">
        <v>2007</v>
      </c>
      <c r="D592" s="130">
        <v>35.700001</v>
      </c>
      <c r="E592" s="130">
        <v>-0.70000079999999998</v>
      </c>
      <c r="F592" s="130">
        <v>31491.7</v>
      </c>
      <c r="G592" s="130">
        <v>3.07856E-2</v>
      </c>
      <c r="H592" s="16">
        <v>5100000</v>
      </c>
      <c r="I592">
        <v>2.3862000000000002E-3</v>
      </c>
    </row>
    <row r="593" spans="1:9" x14ac:dyDescent="0.25">
      <c r="A593" t="s">
        <v>335</v>
      </c>
      <c r="B593" t="s">
        <v>147</v>
      </c>
      <c r="C593">
        <v>2008</v>
      </c>
      <c r="D593" s="130">
        <v>35.400002000000001</v>
      </c>
      <c r="E593" s="130">
        <v>-0.29999920000000002</v>
      </c>
      <c r="F593" s="130">
        <v>31299.9</v>
      </c>
      <c r="G593" s="130">
        <v>-6.1063999999999997E-3</v>
      </c>
      <c r="H593" s="16">
        <v>5100000</v>
      </c>
      <c r="I593">
        <v>4.2396999999999999E-3</v>
      </c>
    </row>
    <row r="594" spans="1:9" x14ac:dyDescent="0.25">
      <c r="A594" t="s">
        <v>335</v>
      </c>
      <c r="B594" t="s">
        <v>147</v>
      </c>
      <c r="C594">
        <v>2009</v>
      </c>
      <c r="D594" s="130">
        <v>35.700001</v>
      </c>
      <c r="E594" s="130">
        <v>0.29999920000000002</v>
      </c>
      <c r="F594" s="130">
        <v>30195.5</v>
      </c>
      <c r="G594" s="130">
        <v>-3.5924900000000003E-2</v>
      </c>
      <c r="H594" s="16">
        <v>5200000</v>
      </c>
      <c r="I594">
        <v>1.5741499999999999E-2</v>
      </c>
    </row>
    <row r="595" spans="1:9" x14ac:dyDescent="0.25">
      <c r="A595" t="s">
        <v>335</v>
      </c>
      <c r="B595" t="s">
        <v>147</v>
      </c>
      <c r="C595">
        <v>2010</v>
      </c>
      <c r="D595" s="130">
        <v>36</v>
      </c>
      <c r="E595" s="130">
        <v>0.29999920000000002</v>
      </c>
      <c r="F595" s="130">
        <v>28639.9</v>
      </c>
      <c r="G595" s="130">
        <v>-5.2890800000000002E-2</v>
      </c>
      <c r="H595" s="16">
        <v>5200000</v>
      </c>
      <c r="I595">
        <v>4.2681999999999998E-3</v>
      </c>
    </row>
    <row r="596" spans="1:9" x14ac:dyDescent="0.25">
      <c r="A596" t="s">
        <v>335</v>
      </c>
      <c r="B596" t="s">
        <v>147</v>
      </c>
      <c r="C596">
        <v>2011</v>
      </c>
      <c r="D596" s="130">
        <v>36.5</v>
      </c>
      <c r="E596" s="130">
        <v>0.5</v>
      </c>
      <c r="F596" s="130">
        <v>27045.599999999999</v>
      </c>
      <c r="G596" s="130">
        <v>-5.7277700000000001E-2</v>
      </c>
      <c r="H596" s="16">
        <v>5100000</v>
      </c>
      <c r="I596">
        <v>-3.4615899999999998E-2</v>
      </c>
    </row>
    <row r="597" spans="1:9" x14ac:dyDescent="0.25">
      <c r="A597" t="s">
        <v>335</v>
      </c>
      <c r="B597" t="s">
        <v>147</v>
      </c>
      <c r="C597">
        <v>2012</v>
      </c>
      <c r="D597" s="130">
        <v>36.799999</v>
      </c>
      <c r="E597" s="130">
        <v>0.29999920000000002</v>
      </c>
      <c r="F597" s="130">
        <v>25391.4</v>
      </c>
      <c r="G597" s="130">
        <v>-6.3114199999999995E-2</v>
      </c>
      <c r="H597" s="16">
        <v>5000000</v>
      </c>
      <c r="I597">
        <v>-8.3785999999999999E-3</v>
      </c>
    </row>
    <row r="598" spans="1:9" x14ac:dyDescent="0.25">
      <c r="A598" t="s">
        <v>335</v>
      </c>
      <c r="B598" t="s">
        <v>147</v>
      </c>
      <c r="C598">
        <v>2013</v>
      </c>
    </row>
    <row r="599" spans="1:9" x14ac:dyDescent="0.25">
      <c r="A599" t="s">
        <v>343</v>
      </c>
      <c r="B599" t="s">
        <v>610</v>
      </c>
      <c r="C599">
        <v>1993</v>
      </c>
      <c r="D599" s="130">
        <v>11.4</v>
      </c>
      <c r="F599" s="130">
        <v>31105.5</v>
      </c>
      <c r="H599" s="16">
        <v>2900000</v>
      </c>
    </row>
    <row r="600" spans="1:9" x14ac:dyDescent="0.25">
      <c r="A600" t="s">
        <v>343</v>
      </c>
      <c r="B600" t="s">
        <v>610</v>
      </c>
      <c r="C600">
        <v>1994</v>
      </c>
      <c r="D600" s="130">
        <v>10.9</v>
      </c>
      <c r="E600" s="130">
        <v>-0.5</v>
      </c>
      <c r="F600" s="130">
        <v>32248.5</v>
      </c>
      <c r="G600" s="130">
        <v>3.6088000000000002E-2</v>
      </c>
      <c r="H600" s="16">
        <v>3000000</v>
      </c>
      <c r="I600">
        <v>2.3361400000000001E-2</v>
      </c>
    </row>
    <row r="601" spans="1:9" x14ac:dyDescent="0.25">
      <c r="A601" t="s">
        <v>343</v>
      </c>
      <c r="B601" t="s">
        <v>610</v>
      </c>
      <c r="C601">
        <v>1995</v>
      </c>
      <c r="D601" s="130">
        <v>10.8</v>
      </c>
      <c r="E601" s="130">
        <v>-9.9999400000000002E-2</v>
      </c>
      <c r="F601" s="130">
        <v>32366.7</v>
      </c>
      <c r="G601" s="130">
        <v>3.6592E-3</v>
      </c>
      <c r="H601" s="16">
        <v>3100000</v>
      </c>
      <c r="I601">
        <v>2.6042300000000001E-2</v>
      </c>
    </row>
    <row r="602" spans="1:9" x14ac:dyDescent="0.25">
      <c r="A602" t="s">
        <v>343</v>
      </c>
      <c r="B602" t="s">
        <v>610</v>
      </c>
      <c r="C602">
        <v>1996</v>
      </c>
      <c r="D602" s="130">
        <v>10.8</v>
      </c>
      <c r="E602" s="130">
        <v>0</v>
      </c>
      <c r="F602" s="130">
        <v>32280</v>
      </c>
      <c r="G602" s="130">
        <v>-2.6827000000000001E-3</v>
      </c>
      <c r="H602" s="16">
        <v>3200000</v>
      </c>
      <c r="I602">
        <v>4.6132800000000002E-2</v>
      </c>
    </row>
    <row r="603" spans="1:9" x14ac:dyDescent="0.25">
      <c r="A603" t="s">
        <v>343</v>
      </c>
      <c r="B603" t="s">
        <v>610</v>
      </c>
      <c r="C603">
        <v>1997</v>
      </c>
      <c r="D603" s="130">
        <v>10.3</v>
      </c>
      <c r="E603" s="130">
        <v>-0.5</v>
      </c>
      <c r="F603" s="130">
        <v>33644.9</v>
      </c>
      <c r="G603" s="130">
        <v>4.14133E-2</v>
      </c>
      <c r="H603" s="16">
        <v>3200000</v>
      </c>
      <c r="I603">
        <v>7.3775000000000004E-3</v>
      </c>
    </row>
    <row r="604" spans="1:9" x14ac:dyDescent="0.25">
      <c r="A604" t="s">
        <v>343</v>
      </c>
      <c r="B604" t="s">
        <v>610</v>
      </c>
      <c r="C604">
        <v>1998</v>
      </c>
      <c r="D604" s="130">
        <v>10.4</v>
      </c>
      <c r="E604" s="130">
        <v>9.9999400000000002E-2</v>
      </c>
      <c r="F604" s="130">
        <v>31402.5</v>
      </c>
      <c r="G604" s="130">
        <v>-6.8975400000000006E-2</v>
      </c>
      <c r="H604" s="16">
        <v>3300000</v>
      </c>
      <c r="I604">
        <v>1.1073E-2</v>
      </c>
    </row>
    <row r="605" spans="1:9" x14ac:dyDescent="0.25">
      <c r="A605" t="s">
        <v>343</v>
      </c>
      <c r="B605" t="s">
        <v>610</v>
      </c>
      <c r="C605">
        <v>1999</v>
      </c>
      <c r="D605" s="130">
        <v>10.8</v>
      </c>
      <c r="E605" s="130">
        <v>0.40000059999999998</v>
      </c>
      <c r="F605" s="130">
        <v>31883.599999999999</v>
      </c>
      <c r="G605" s="130">
        <v>1.5206300000000001E-2</v>
      </c>
      <c r="H605" s="16">
        <v>3300000</v>
      </c>
      <c r="I605">
        <v>1.29359E-2</v>
      </c>
    </row>
    <row r="606" spans="1:9" x14ac:dyDescent="0.25">
      <c r="A606" t="s">
        <v>343</v>
      </c>
      <c r="B606" t="s">
        <v>610</v>
      </c>
      <c r="C606">
        <v>2000</v>
      </c>
      <c r="D606" s="130">
        <v>10.5</v>
      </c>
      <c r="E606" s="130">
        <v>-0.30000019999999999</v>
      </c>
      <c r="F606" s="130">
        <v>34025.699999999997</v>
      </c>
      <c r="G606" s="130">
        <v>6.5023399999999995E-2</v>
      </c>
      <c r="H606" s="16">
        <v>3300000</v>
      </c>
      <c r="I606">
        <v>1.48278E-2</v>
      </c>
    </row>
    <row r="607" spans="1:9" x14ac:dyDescent="0.25">
      <c r="A607" t="s">
        <v>343</v>
      </c>
      <c r="B607" t="s">
        <v>610</v>
      </c>
      <c r="C607">
        <v>2001</v>
      </c>
      <c r="D607" s="130">
        <v>11.9</v>
      </c>
      <c r="E607" s="130">
        <v>1.4</v>
      </c>
      <c r="F607" s="130">
        <v>33965.300000000003</v>
      </c>
      <c r="G607" s="130">
        <v>-1.7757000000000001E-3</v>
      </c>
      <c r="H607" s="16">
        <v>3400000</v>
      </c>
      <c r="I607">
        <v>1.8051600000000001E-2</v>
      </c>
    </row>
    <row r="608" spans="1:9" x14ac:dyDescent="0.25">
      <c r="A608" t="s">
        <v>343</v>
      </c>
      <c r="B608" t="s">
        <v>610</v>
      </c>
      <c r="C608">
        <v>2002</v>
      </c>
      <c r="D608" s="130">
        <v>12.9</v>
      </c>
      <c r="E608" s="130">
        <v>1</v>
      </c>
      <c r="F608" s="130">
        <v>34375.5</v>
      </c>
      <c r="G608" s="130">
        <v>1.20029E-2</v>
      </c>
      <c r="H608" s="16">
        <v>3500000</v>
      </c>
      <c r="I608">
        <v>2.1451000000000001E-2</v>
      </c>
    </row>
    <row r="609" spans="1:9" x14ac:dyDescent="0.25">
      <c r="A609" t="s">
        <v>343</v>
      </c>
      <c r="B609" t="s">
        <v>610</v>
      </c>
      <c r="C609">
        <v>2003</v>
      </c>
      <c r="D609" s="130">
        <v>12.7</v>
      </c>
      <c r="E609" s="130">
        <v>-0.19999980000000001</v>
      </c>
      <c r="F609" s="130">
        <v>35496.1</v>
      </c>
      <c r="G609" s="130">
        <v>3.2078700000000002E-2</v>
      </c>
      <c r="H609" s="16">
        <v>3500000</v>
      </c>
      <c r="I609">
        <v>2.9150999999999999E-3</v>
      </c>
    </row>
    <row r="610" spans="1:9" x14ac:dyDescent="0.25">
      <c r="A610" t="s">
        <v>343</v>
      </c>
      <c r="B610" t="s">
        <v>610</v>
      </c>
      <c r="C610">
        <v>2004</v>
      </c>
      <c r="D610" s="130">
        <v>12.5</v>
      </c>
      <c r="E610" s="130">
        <v>-0.19999980000000001</v>
      </c>
      <c r="F610" s="130">
        <v>38284.5</v>
      </c>
      <c r="G610" s="130">
        <v>7.5623499999999996E-2</v>
      </c>
      <c r="H610" s="16">
        <v>3500000</v>
      </c>
      <c r="I610">
        <v>1.83573E-2</v>
      </c>
    </row>
    <row r="611" spans="1:9" x14ac:dyDescent="0.25">
      <c r="A611" t="s">
        <v>343</v>
      </c>
      <c r="B611" t="s">
        <v>610</v>
      </c>
      <c r="C611">
        <v>2005</v>
      </c>
      <c r="D611" s="130">
        <v>12.2</v>
      </c>
      <c r="E611" s="130">
        <v>-0.30000019999999999</v>
      </c>
      <c r="F611" s="130">
        <v>40933.9</v>
      </c>
      <c r="G611" s="130">
        <v>6.6911700000000005E-2</v>
      </c>
      <c r="H611" s="16">
        <v>3600000</v>
      </c>
      <c r="I611">
        <v>1.17768E-2</v>
      </c>
    </row>
    <row r="612" spans="1:9" x14ac:dyDescent="0.25">
      <c r="A612" t="s">
        <v>343</v>
      </c>
      <c r="B612" t="s">
        <v>610</v>
      </c>
      <c r="C612">
        <v>2006</v>
      </c>
      <c r="D612" s="130">
        <v>12.2</v>
      </c>
      <c r="E612" s="130">
        <v>0</v>
      </c>
      <c r="F612" s="130">
        <v>43532.1</v>
      </c>
      <c r="G612" s="130">
        <v>6.1540600000000001E-2</v>
      </c>
      <c r="H612" s="16">
        <v>3600000</v>
      </c>
      <c r="I612">
        <v>1.5532900000000001E-2</v>
      </c>
    </row>
    <row r="613" spans="1:9" x14ac:dyDescent="0.25">
      <c r="A613" t="s">
        <v>343</v>
      </c>
      <c r="B613" t="s">
        <v>610</v>
      </c>
      <c r="C613">
        <v>2007</v>
      </c>
      <c r="D613" s="130">
        <v>11.3</v>
      </c>
      <c r="E613" s="130">
        <v>-0.89999960000000001</v>
      </c>
      <c r="F613" s="130">
        <v>45949.7</v>
      </c>
      <c r="G613" s="130">
        <v>5.4048499999999999E-2</v>
      </c>
      <c r="H613" s="16">
        <v>3700000</v>
      </c>
      <c r="I613">
        <v>1.7555500000000002E-2</v>
      </c>
    </row>
    <row r="614" spans="1:9" x14ac:dyDescent="0.25">
      <c r="A614" t="s">
        <v>343</v>
      </c>
      <c r="B614" t="s">
        <v>610</v>
      </c>
      <c r="C614">
        <v>2008</v>
      </c>
      <c r="D614" s="130">
        <v>11.2</v>
      </c>
      <c r="E614" s="130">
        <v>-0.1000004</v>
      </c>
      <c r="F614" s="130">
        <v>46647.5</v>
      </c>
      <c r="G614" s="130">
        <v>1.5072800000000001E-2</v>
      </c>
      <c r="H614" s="16">
        <v>3700000</v>
      </c>
      <c r="I614">
        <v>7.3255999999999998E-3</v>
      </c>
    </row>
    <row r="615" spans="1:9" x14ac:dyDescent="0.25">
      <c r="A615" t="s">
        <v>343</v>
      </c>
      <c r="B615" t="s">
        <v>610</v>
      </c>
      <c r="C615">
        <v>2009</v>
      </c>
      <c r="D615" s="130">
        <v>11.2</v>
      </c>
      <c r="E615" s="130">
        <v>0</v>
      </c>
      <c r="F615" s="130">
        <v>45402.5</v>
      </c>
      <c r="G615" s="130">
        <v>-2.70519E-2</v>
      </c>
      <c r="H615" s="16">
        <v>3700000</v>
      </c>
      <c r="I615">
        <v>5.7140999999999997E-3</v>
      </c>
    </row>
    <row r="616" spans="1:9" x14ac:dyDescent="0.25">
      <c r="A616" t="s">
        <v>343</v>
      </c>
      <c r="B616" t="s">
        <v>610</v>
      </c>
      <c r="C616">
        <v>2010</v>
      </c>
      <c r="D616" s="130">
        <v>9.8999995999999992</v>
      </c>
      <c r="E616" s="130">
        <v>-1.3</v>
      </c>
      <c r="F616" s="130">
        <v>48132</v>
      </c>
      <c r="G616" s="130">
        <v>5.8380099999999997E-2</v>
      </c>
      <c r="H616" s="16">
        <v>3700000</v>
      </c>
      <c r="I616">
        <v>-7.5915000000000002E-3</v>
      </c>
    </row>
    <row r="617" spans="1:9" x14ac:dyDescent="0.25">
      <c r="A617" t="s">
        <v>343</v>
      </c>
      <c r="B617" t="s">
        <v>610</v>
      </c>
      <c r="C617">
        <v>2011</v>
      </c>
      <c r="D617" s="130">
        <v>10.1</v>
      </c>
      <c r="E617" s="130">
        <v>0.20000080000000001</v>
      </c>
      <c r="F617" s="130">
        <v>50128.800000000003</v>
      </c>
      <c r="G617" s="130">
        <v>4.0647500000000003E-2</v>
      </c>
      <c r="H617" s="16">
        <v>3700000</v>
      </c>
      <c r="I617">
        <v>7.3699999999999998E-3</v>
      </c>
    </row>
    <row r="618" spans="1:9" x14ac:dyDescent="0.25">
      <c r="A618" t="s">
        <v>343</v>
      </c>
      <c r="B618" t="s">
        <v>610</v>
      </c>
      <c r="C618">
        <v>2012</v>
      </c>
      <c r="D618" s="130">
        <v>10.199999999999999</v>
      </c>
      <c r="E618" s="130">
        <v>9.9999400000000002E-2</v>
      </c>
      <c r="F618" s="130">
        <v>50291.199999999997</v>
      </c>
      <c r="G618" s="130">
        <v>3.2339000000000001E-3</v>
      </c>
      <c r="H618" s="16">
        <v>3700000</v>
      </c>
      <c r="I618">
        <v>1.26693E-2</v>
      </c>
    </row>
    <row r="619" spans="1:9" x14ac:dyDescent="0.25">
      <c r="A619" t="s">
        <v>343</v>
      </c>
      <c r="B619" t="s">
        <v>610</v>
      </c>
      <c r="C619">
        <v>2013</v>
      </c>
    </row>
    <row r="620" spans="1:9" x14ac:dyDescent="0.25">
      <c r="A620" t="s">
        <v>342</v>
      </c>
      <c r="B620" t="s">
        <v>87</v>
      </c>
      <c r="C620">
        <v>1990</v>
      </c>
      <c r="D620" s="130">
        <v>49.900002000000001</v>
      </c>
      <c r="F620" s="130">
        <v>3205.07</v>
      </c>
      <c r="H620" s="16">
        <v>1600000</v>
      </c>
    </row>
    <row r="621" spans="1:9" x14ac:dyDescent="0.25">
      <c r="A621" t="s">
        <v>342</v>
      </c>
      <c r="B621" t="s">
        <v>87</v>
      </c>
      <c r="C621">
        <v>1991</v>
      </c>
      <c r="D621" s="130">
        <v>52.099997999999999</v>
      </c>
      <c r="E621" s="130">
        <v>2.1999970000000002</v>
      </c>
      <c r="F621" s="130">
        <v>3218.66</v>
      </c>
      <c r="G621" s="130">
        <v>4.2315E-3</v>
      </c>
      <c r="H621" s="16">
        <v>1600000</v>
      </c>
      <c r="I621">
        <v>3.1704299999999998E-2</v>
      </c>
    </row>
    <row r="622" spans="1:9" x14ac:dyDescent="0.25">
      <c r="A622" t="s">
        <v>342</v>
      </c>
      <c r="B622" t="s">
        <v>87</v>
      </c>
      <c r="C622">
        <v>1992</v>
      </c>
      <c r="D622" s="130">
        <v>48.900002000000001</v>
      </c>
      <c r="E622" s="130">
        <v>-3.1999970000000002</v>
      </c>
      <c r="F622" s="130">
        <v>3308.41</v>
      </c>
      <c r="G622" s="130">
        <v>2.7502100000000002E-2</v>
      </c>
      <c r="H622" s="16">
        <v>1700000</v>
      </c>
      <c r="I622">
        <v>4.5007499999999999E-2</v>
      </c>
    </row>
    <row r="623" spans="1:9" x14ac:dyDescent="0.25">
      <c r="A623" t="s">
        <v>342</v>
      </c>
      <c r="B623" t="s">
        <v>87</v>
      </c>
      <c r="C623">
        <v>1993</v>
      </c>
      <c r="F623" s="130">
        <v>3422.72</v>
      </c>
      <c r="G623" s="130">
        <v>3.3968900000000003E-2</v>
      </c>
      <c r="H623" s="16">
        <v>1800000</v>
      </c>
      <c r="I623">
        <v>3.7213599999999999E-2</v>
      </c>
    </row>
    <row r="624" spans="1:9" x14ac:dyDescent="0.25">
      <c r="A624" t="s">
        <v>342</v>
      </c>
      <c r="B624" t="s">
        <v>87</v>
      </c>
      <c r="C624">
        <v>1994</v>
      </c>
      <c r="D624" s="130">
        <v>49.299999</v>
      </c>
      <c r="F624" s="130">
        <v>3293.09</v>
      </c>
      <c r="G624" s="130">
        <v>-3.86086E-2</v>
      </c>
      <c r="H624" s="16">
        <v>1800000</v>
      </c>
      <c r="I624">
        <v>3.7899500000000003E-2</v>
      </c>
    </row>
    <row r="625" spans="1:9" x14ac:dyDescent="0.25">
      <c r="A625" t="s">
        <v>342</v>
      </c>
      <c r="B625" t="s">
        <v>87</v>
      </c>
      <c r="C625">
        <v>1995</v>
      </c>
      <c r="D625" s="130">
        <v>50.200001</v>
      </c>
      <c r="E625" s="130">
        <v>0.90000150000000001</v>
      </c>
      <c r="F625" s="130">
        <v>3344.31</v>
      </c>
      <c r="G625" s="130">
        <v>1.54343E-2</v>
      </c>
      <c r="H625" s="16">
        <v>1900000</v>
      </c>
      <c r="I625">
        <v>3.8478900000000003E-2</v>
      </c>
    </row>
    <row r="626" spans="1:9" x14ac:dyDescent="0.25">
      <c r="A626" t="s">
        <v>342</v>
      </c>
      <c r="B626" t="s">
        <v>87</v>
      </c>
      <c r="C626">
        <v>1996</v>
      </c>
      <c r="D626" s="130">
        <v>53.900002000000001</v>
      </c>
      <c r="E626" s="130">
        <v>3.7000009999999999</v>
      </c>
      <c r="F626" s="130">
        <v>3384.83</v>
      </c>
      <c r="G626" s="130">
        <v>1.2042000000000001E-2</v>
      </c>
      <c r="H626" s="16">
        <v>2000000</v>
      </c>
      <c r="I626">
        <v>9.3442600000000001E-2</v>
      </c>
    </row>
    <row r="627" spans="1:9" x14ac:dyDescent="0.25">
      <c r="A627" t="s">
        <v>342</v>
      </c>
      <c r="B627" t="s">
        <v>87</v>
      </c>
      <c r="C627">
        <v>1997</v>
      </c>
      <c r="D627" s="130">
        <v>53.200001</v>
      </c>
      <c r="E627" s="130">
        <v>-0.70000079999999998</v>
      </c>
      <c r="F627" s="130">
        <v>3475.48</v>
      </c>
      <c r="G627" s="130">
        <v>2.64292E-2</v>
      </c>
      <c r="H627" s="16">
        <v>2100000</v>
      </c>
      <c r="I627">
        <v>4.3360000000000003E-2</v>
      </c>
    </row>
    <row r="628" spans="1:9" x14ac:dyDescent="0.25">
      <c r="A628" t="s">
        <v>342</v>
      </c>
      <c r="B628" t="s">
        <v>87</v>
      </c>
      <c r="C628">
        <v>1998</v>
      </c>
      <c r="D628" s="130">
        <v>52</v>
      </c>
      <c r="E628" s="130">
        <v>-1.2000010000000001</v>
      </c>
      <c r="F628" s="130">
        <v>3500.11</v>
      </c>
      <c r="G628" s="130">
        <v>7.0629000000000004E-3</v>
      </c>
      <c r="H628" s="16">
        <v>2200000</v>
      </c>
      <c r="I628">
        <v>6.1508699999999999E-2</v>
      </c>
    </row>
    <row r="629" spans="1:9" x14ac:dyDescent="0.25">
      <c r="A629" t="s">
        <v>342</v>
      </c>
      <c r="B629" t="s">
        <v>87</v>
      </c>
      <c r="C629">
        <v>1999</v>
      </c>
      <c r="D629" s="130">
        <v>53.200001</v>
      </c>
      <c r="E629" s="130">
        <v>1.2000010000000001</v>
      </c>
      <c r="F629" s="130">
        <v>3362.44</v>
      </c>
      <c r="G629" s="130">
        <v>-4.0128700000000003E-2</v>
      </c>
      <c r="H629" s="16">
        <v>2300000</v>
      </c>
      <c r="I629">
        <v>8.5871199999999995E-2</v>
      </c>
    </row>
    <row r="630" spans="1:9" x14ac:dyDescent="0.25">
      <c r="A630" t="s">
        <v>342</v>
      </c>
      <c r="B630" t="s">
        <v>87</v>
      </c>
      <c r="C630">
        <v>2000</v>
      </c>
      <c r="F630" s="130">
        <v>3482.63</v>
      </c>
      <c r="G630" s="130">
        <v>3.5119999999999998E-2</v>
      </c>
      <c r="H630" s="16">
        <v>2400000</v>
      </c>
      <c r="I630">
        <v>1.31521E-2</v>
      </c>
    </row>
    <row r="631" spans="1:9" x14ac:dyDescent="0.25">
      <c r="A631" t="s">
        <v>342</v>
      </c>
      <c r="B631" t="s">
        <v>87</v>
      </c>
      <c r="C631">
        <v>2001</v>
      </c>
      <c r="D631" s="130">
        <v>51.099997999999999</v>
      </c>
      <c r="F631" s="130">
        <v>3504.69</v>
      </c>
      <c r="G631" s="130">
        <v>6.3162000000000001E-3</v>
      </c>
      <c r="H631" s="16">
        <v>2400000</v>
      </c>
      <c r="I631">
        <v>5.9509000000000003E-3</v>
      </c>
    </row>
    <row r="632" spans="1:9" x14ac:dyDescent="0.25">
      <c r="A632" t="s">
        <v>342</v>
      </c>
      <c r="B632" t="s">
        <v>87</v>
      </c>
      <c r="C632">
        <v>2002</v>
      </c>
      <c r="D632" s="130">
        <v>53.400002000000001</v>
      </c>
      <c r="E632" s="130">
        <v>2.3000029999999998</v>
      </c>
      <c r="F632" s="130">
        <v>3563.07</v>
      </c>
      <c r="G632" s="130">
        <v>1.65205E-2</v>
      </c>
      <c r="H632" s="16">
        <v>2400000</v>
      </c>
      <c r="I632">
        <v>-1.15029E-2</v>
      </c>
    </row>
    <row r="633" spans="1:9" x14ac:dyDescent="0.25">
      <c r="A633" t="s">
        <v>342</v>
      </c>
      <c r="B633" t="s">
        <v>87</v>
      </c>
      <c r="C633">
        <v>2003</v>
      </c>
      <c r="D633" s="130">
        <v>54</v>
      </c>
      <c r="E633" s="130">
        <v>0.59999849999999999</v>
      </c>
      <c r="F633" s="130">
        <v>3650.7</v>
      </c>
      <c r="G633" s="130">
        <v>2.42939E-2</v>
      </c>
      <c r="H633" s="16">
        <v>2400000</v>
      </c>
      <c r="I633">
        <v>3.3606799999999999E-2</v>
      </c>
    </row>
    <row r="634" spans="1:9" x14ac:dyDescent="0.25">
      <c r="A634" t="s">
        <v>342</v>
      </c>
      <c r="B634" t="s">
        <v>87</v>
      </c>
      <c r="C634">
        <v>2004</v>
      </c>
      <c r="D634" s="130">
        <v>51.799999</v>
      </c>
      <c r="E634" s="130">
        <v>-2.2000009999999999</v>
      </c>
      <c r="F634" s="130">
        <v>3801.22</v>
      </c>
      <c r="G634" s="130">
        <v>4.0405299999999998E-2</v>
      </c>
      <c r="H634" s="16">
        <v>2500000</v>
      </c>
      <c r="I634">
        <v>3.4734099999999997E-2</v>
      </c>
    </row>
    <row r="635" spans="1:9" x14ac:dyDescent="0.25">
      <c r="A635" t="s">
        <v>342</v>
      </c>
      <c r="B635" t="s">
        <v>87</v>
      </c>
      <c r="C635">
        <v>2005</v>
      </c>
      <c r="D635" s="130">
        <v>50</v>
      </c>
      <c r="E635" s="130">
        <v>-1.7999989999999999</v>
      </c>
      <c r="F635" s="130">
        <v>3951.53</v>
      </c>
      <c r="G635" s="130">
        <v>3.8779300000000003E-2</v>
      </c>
      <c r="H635" s="16">
        <v>2500000</v>
      </c>
      <c r="I635">
        <v>4.8978000000000001E-2</v>
      </c>
    </row>
    <row r="636" spans="1:9" x14ac:dyDescent="0.25">
      <c r="A636" t="s">
        <v>342</v>
      </c>
      <c r="B636" t="s">
        <v>87</v>
      </c>
      <c r="C636">
        <v>2006</v>
      </c>
      <c r="D636" s="130">
        <v>52.599997999999999</v>
      </c>
      <c r="E636" s="130">
        <v>2.5999979999999998</v>
      </c>
      <c r="F636" s="130">
        <v>4128.09</v>
      </c>
      <c r="G636" s="130">
        <v>4.3712599999999997E-2</v>
      </c>
      <c r="H636" s="16">
        <v>2600000</v>
      </c>
      <c r="I636">
        <v>5.0967899999999997E-2</v>
      </c>
    </row>
    <row r="637" spans="1:9" x14ac:dyDescent="0.25">
      <c r="A637" t="s">
        <v>342</v>
      </c>
      <c r="B637" t="s">
        <v>87</v>
      </c>
      <c r="C637">
        <v>2007</v>
      </c>
      <c r="D637" s="130">
        <v>52.400002000000001</v>
      </c>
      <c r="E637" s="130">
        <v>-0.19999690000000001</v>
      </c>
      <c r="F637" s="130">
        <v>4297.4399999999996</v>
      </c>
      <c r="G637" s="130">
        <v>4.0203999999999997E-2</v>
      </c>
      <c r="H637" s="16">
        <v>2700000</v>
      </c>
      <c r="I637">
        <v>5.5628999999999998E-2</v>
      </c>
    </row>
    <row r="638" spans="1:9" x14ac:dyDescent="0.25">
      <c r="A638" t="s">
        <v>342</v>
      </c>
      <c r="B638" t="s">
        <v>87</v>
      </c>
      <c r="C638">
        <v>2008</v>
      </c>
      <c r="D638" s="130">
        <v>51.700001</v>
      </c>
      <c r="E638" s="130">
        <v>-0.70000079999999998</v>
      </c>
      <c r="F638" s="130">
        <v>4391.25</v>
      </c>
      <c r="G638" s="130">
        <v>2.1596000000000001E-2</v>
      </c>
      <c r="H638" s="16">
        <v>2800000</v>
      </c>
      <c r="I638">
        <v>5.4613799999999997E-2</v>
      </c>
    </row>
    <row r="639" spans="1:9" x14ac:dyDescent="0.25">
      <c r="A639" t="s">
        <v>342</v>
      </c>
      <c r="B639" t="s">
        <v>87</v>
      </c>
      <c r="C639">
        <v>2009</v>
      </c>
      <c r="D639" s="130">
        <v>54.200001</v>
      </c>
      <c r="E639" s="130">
        <v>2.5</v>
      </c>
      <c r="F639" s="130">
        <v>4199.88</v>
      </c>
      <c r="G639" s="130">
        <v>-4.4559500000000002E-2</v>
      </c>
      <c r="H639" s="16">
        <v>2900000</v>
      </c>
      <c r="I639">
        <v>6.1841500000000001E-2</v>
      </c>
    </row>
    <row r="640" spans="1:9" x14ac:dyDescent="0.25">
      <c r="A640" t="s">
        <v>342</v>
      </c>
      <c r="B640" t="s">
        <v>87</v>
      </c>
      <c r="C640">
        <v>2010</v>
      </c>
      <c r="D640" s="130">
        <v>55.700001</v>
      </c>
      <c r="E640" s="130">
        <v>1.5</v>
      </c>
      <c r="F640" s="130">
        <v>4270.05</v>
      </c>
      <c r="G640" s="130">
        <v>1.6570999999999999E-2</v>
      </c>
      <c r="H640" s="16">
        <v>3000000</v>
      </c>
      <c r="I640">
        <v>6.02397E-2</v>
      </c>
    </row>
    <row r="641" spans="1:9" x14ac:dyDescent="0.25">
      <c r="A641" t="s">
        <v>342</v>
      </c>
      <c r="B641" t="s">
        <v>87</v>
      </c>
      <c r="C641">
        <v>2011</v>
      </c>
      <c r="F641" s="130">
        <v>4345.2</v>
      </c>
      <c r="G641" s="130">
        <v>1.74465E-2</v>
      </c>
      <c r="H641" s="16">
        <v>3100000</v>
      </c>
      <c r="I641">
        <v>5.8313299999999998E-2</v>
      </c>
    </row>
    <row r="642" spans="1:9" x14ac:dyDescent="0.25">
      <c r="A642" t="s">
        <v>342</v>
      </c>
      <c r="B642" t="s">
        <v>87</v>
      </c>
      <c r="C642">
        <v>2012</v>
      </c>
      <c r="F642" s="130">
        <v>4422.54</v>
      </c>
      <c r="G642" s="130">
        <v>1.7642000000000001E-2</v>
      </c>
      <c r="H642" s="16">
        <v>3200000</v>
      </c>
      <c r="I642">
        <v>6.2456999999999999E-2</v>
      </c>
    </row>
    <row r="643" spans="1:9" x14ac:dyDescent="0.25">
      <c r="A643" t="s">
        <v>342</v>
      </c>
      <c r="B643" t="s">
        <v>87</v>
      </c>
      <c r="C643">
        <v>2013</v>
      </c>
    </row>
    <row r="644" spans="1:9" x14ac:dyDescent="0.25">
      <c r="A644" t="s">
        <v>310</v>
      </c>
      <c r="B644" t="s">
        <v>131</v>
      </c>
      <c r="C644">
        <v>1996</v>
      </c>
      <c r="D644" s="130">
        <v>28.6</v>
      </c>
      <c r="F644" s="130">
        <v>13613.8</v>
      </c>
      <c r="H644" s="16">
        <v>2000000</v>
      </c>
    </row>
    <row r="645" spans="1:9" x14ac:dyDescent="0.25">
      <c r="A645" t="s">
        <v>310</v>
      </c>
      <c r="B645" t="s">
        <v>131</v>
      </c>
      <c r="C645">
        <v>1997</v>
      </c>
      <c r="D645" s="130">
        <v>25.9</v>
      </c>
      <c r="E645" s="130">
        <v>-2.7000009999999999</v>
      </c>
      <c r="F645" s="130">
        <v>14257.2</v>
      </c>
      <c r="G645" s="130">
        <v>4.61769E-2</v>
      </c>
      <c r="H645" s="16">
        <v>2000000</v>
      </c>
      <c r="I645">
        <v>1.31266E-2</v>
      </c>
    </row>
    <row r="646" spans="1:9" x14ac:dyDescent="0.25">
      <c r="A646" t="s">
        <v>310</v>
      </c>
      <c r="B646" t="s">
        <v>131</v>
      </c>
      <c r="C646">
        <v>1998</v>
      </c>
      <c r="D646" s="130">
        <v>24.700001</v>
      </c>
      <c r="E646" s="130">
        <v>-1.199999</v>
      </c>
      <c r="F646" s="130">
        <v>14768.4</v>
      </c>
      <c r="G646" s="130">
        <v>3.5225899999999997E-2</v>
      </c>
      <c r="H646" s="16">
        <v>2000000</v>
      </c>
      <c r="I646">
        <v>-1.82334E-2</v>
      </c>
    </row>
    <row r="647" spans="1:9" x14ac:dyDescent="0.25">
      <c r="A647" t="s">
        <v>310</v>
      </c>
      <c r="B647" t="s">
        <v>131</v>
      </c>
      <c r="C647">
        <v>1999</v>
      </c>
      <c r="D647" s="130">
        <v>24.799999</v>
      </c>
      <c r="E647" s="130">
        <v>9.9998500000000004E-2</v>
      </c>
      <c r="F647" s="130">
        <v>14444.3</v>
      </c>
      <c r="G647" s="130">
        <v>-2.2190100000000001E-2</v>
      </c>
      <c r="H647" s="16">
        <v>2000000</v>
      </c>
      <c r="I647">
        <v>9.1301999999999998E-3</v>
      </c>
    </row>
    <row r="648" spans="1:9" x14ac:dyDescent="0.25">
      <c r="A648" t="s">
        <v>310</v>
      </c>
      <c r="B648" t="s">
        <v>131</v>
      </c>
      <c r="C648">
        <v>2000</v>
      </c>
      <c r="D648" s="130">
        <v>23.9</v>
      </c>
      <c r="E648" s="130">
        <v>-0.89999960000000001</v>
      </c>
      <c r="F648" s="130">
        <v>15419.4</v>
      </c>
      <c r="G648" s="130">
        <v>6.53276E-2</v>
      </c>
      <c r="H648" s="16">
        <v>2000000</v>
      </c>
      <c r="I648">
        <v>-3.2542500000000002E-2</v>
      </c>
    </row>
    <row r="649" spans="1:9" x14ac:dyDescent="0.25">
      <c r="A649" t="s">
        <v>310</v>
      </c>
      <c r="B649" t="s">
        <v>131</v>
      </c>
      <c r="C649">
        <v>2001</v>
      </c>
      <c r="D649" s="130">
        <v>24.299999</v>
      </c>
      <c r="E649" s="130">
        <v>0.39999960000000001</v>
      </c>
      <c r="F649" s="130">
        <v>15932.7</v>
      </c>
      <c r="G649" s="130">
        <v>3.2749199999999999E-2</v>
      </c>
      <c r="H649" s="16">
        <v>2000000</v>
      </c>
      <c r="I649">
        <v>-4.9075000000000004E-3</v>
      </c>
    </row>
    <row r="650" spans="1:9" x14ac:dyDescent="0.25">
      <c r="A650" t="s">
        <v>310</v>
      </c>
      <c r="B650" t="s">
        <v>131</v>
      </c>
      <c r="C650">
        <v>2002</v>
      </c>
      <c r="D650" s="130">
        <v>24.1</v>
      </c>
      <c r="E650" s="130">
        <v>-0.19999890000000001</v>
      </c>
      <c r="F650" s="130">
        <v>16710</v>
      </c>
      <c r="G650" s="130">
        <v>4.76303E-2</v>
      </c>
      <c r="H650" s="16">
        <v>1900000</v>
      </c>
      <c r="I650">
        <v>-8.0575000000000004E-3</v>
      </c>
    </row>
    <row r="651" spans="1:9" x14ac:dyDescent="0.25">
      <c r="A651" t="s">
        <v>310</v>
      </c>
      <c r="B651" t="s">
        <v>131</v>
      </c>
      <c r="C651">
        <v>2003</v>
      </c>
      <c r="D651" s="130">
        <v>24.4</v>
      </c>
      <c r="E651" s="130">
        <v>0.29999920000000002</v>
      </c>
      <c r="F651" s="130">
        <v>17607.5</v>
      </c>
      <c r="G651" s="130">
        <v>5.2317599999999999E-2</v>
      </c>
      <c r="H651" s="16">
        <v>1900000</v>
      </c>
      <c r="I651">
        <v>4.6166999999999996E-3</v>
      </c>
    </row>
    <row r="652" spans="1:9" x14ac:dyDescent="0.25">
      <c r="A652" t="s">
        <v>310</v>
      </c>
      <c r="B652" t="s">
        <v>131</v>
      </c>
      <c r="C652">
        <v>2004</v>
      </c>
      <c r="D652" s="130">
        <v>24.1</v>
      </c>
      <c r="E652" s="130">
        <v>-0.29999920000000002</v>
      </c>
      <c r="F652" s="130">
        <v>18338.5</v>
      </c>
      <c r="G652" s="130">
        <v>4.0679899999999998E-2</v>
      </c>
      <c r="H652" s="16">
        <v>2000000</v>
      </c>
      <c r="I652">
        <v>2.25863E-2</v>
      </c>
    </row>
    <row r="653" spans="1:9" x14ac:dyDescent="0.25">
      <c r="A653" t="s">
        <v>310</v>
      </c>
      <c r="B653" t="s">
        <v>131</v>
      </c>
      <c r="C653">
        <v>2005</v>
      </c>
      <c r="D653" s="130">
        <v>24.9</v>
      </c>
      <c r="E653" s="130">
        <v>0.79999920000000002</v>
      </c>
      <c r="F653" s="130">
        <v>19110.400000000001</v>
      </c>
      <c r="G653" s="130">
        <v>4.1232100000000001E-2</v>
      </c>
      <c r="H653" s="16">
        <v>2000000</v>
      </c>
      <c r="I653">
        <v>-6.8800000000000003E-4</v>
      </c>
    </row>
    <row r="654" spans="1:9" x14ac:dyDescent="0.25">
      <c r="A654" t="s">
        <v>310</v>
      </c>
      <c r="B654" t="s">
        <v>131</v>
      </c>
      <c r="C654">
        <v>2006</v>
      </c>
      <c r="D654" s="130">
        <v>23</v>
      </c>
      <c r="E654" s="130">
        <v>-1.9</v>
      </c>
      <c r="F654" s="130">
        <v>20062.599999999999</v>
      </c>
      <c r="G654" s="130">
        <v>4.8624000000000001E-2</v>
      </c>
      <c r="H654" s="16">
        <v>2000000</v>
      </c>
      <c r="I654">
        <v>-7.7009000000000001E-3</v>
      </c>
    </row>
    <row r="655" spans="1:9" x14ac:dyDescent="0.25">
      <c r="A655" t="s">
        <v>310</v>
      </c>
      <c r="B655" t="s">
        <v>131</v>
      </c>
      <c r="C655">
        <v>2007</v>
      </c>
      <c r="D655" s="130">
        <v>21.6</v>
      </c>
      <c r="E655" s="130">
        <v>-1.4</v>
      </c>
      <c r="F655" s="130">
        <v>21096.799999999999</v>
      </c>
      <c r="G655" s="130">
        <v>5.0261500000000001E-2</v>
      </c>
      <c r="H655" s="16">
        <v>2000000</v>
      </c>
      <c r="I655">
        <v>4.4653000000000002E-3</v>
      </c>
    </row>
    <row r="656" spans="1:9" x14ac:dyDescent="0.25">
      <c r="A656" t="s">
        <v>310</v>
      </c>
      <c r="B656" t="s">
        <v>131</v>
      </c>
      <c r="C656">
        <v>2008</v>
      </c>
      <c r="D656" s="130">
        <v>21.6</v>
      </c>
      <c r="E656" s="130">
        <v>0</v>
      </c>
      <c r="F656" s="130">
        <v>21546.2</v>
      </c>
      <c r="G656" s="130">
        <v>2.1080000000000002E-2</v>
      </c>
      <c r="H656" s="16">
        <v>2000000</v>
      </c>
      <c r="I656">
        <v>-8.2629999999999997E-4</v>
      </c>
    </row>
    <row r="657" spans="1:9" x14ac:dyDescent="0.25">
      <c r="A657" t="s">
        <v>310</v>
      </c>
      <c r="B657" t="s">
        <v>131</v>
      </c>
      <c r="C657">
        <v>2009</v>
      </c>
      <c r="D657" s="130">
        <v>21.6</v>
      </c>
      <c r="E657" s="130">
        <v>0</v>
      </c>
      <c r="F657" s="130">
        <v>20072</v>
      </c>
      <c r="G657" s="130">
        <v>-7.0874199999999998E-2</v>
      </c>
      <c r="H657" s="16">
        <v>2000000</v>
      </c>
      <c r="I657">
        <v>-5.2106000000000001E-3</v>
      </c>
    </row>
    <row r="658" spans="1:9" x14ac:dyDescent="0.25">
      <c r="A658" t="s">
        <v>310</v>
      </c>
      <c r="B658" t="s">
        <v>131</v>
      </c>
      <c r="C658">
        <v>2010</v>
      </c>
      <c r="D658" s="130">
        <v>22.6</v>
      </c>
      <c r="E658" s="130">
        <v>1</v>
      </c>
      <c r="F658" s="130">
        <v>19840.099999999999</v>
      </c>
      <c r="G658" s="130">
        <v>-1.1619600000000001E-2</v>
      </c>
      <c r="H658" s="16">
        <v>1900000</v>
      </c>
      <c r="I658">
        <v>-1.20222E-2</v>
      </c>
    </row>
    <row r="659" spans="1:9" x14ac:dyDescent="0.25">
      <c r="A659" t="s">
        <v>310</v>
      </c>
      <c r="B659" t="s">
        <v>131</v>
      </c>
      <c r="C659">
        <v>2011</v>
      </c>
      <c r="D659" s="130">
        <v>22.700001</v>
      </c>
      <c r="E659" s="130">
        <v>0.1000004</v>
      </c>
      <c r="F659" s="130">
        <v>20286.400000000001</v>
      </c>
      <c r="G659" s="130">
        <v>2.22464E-2</v>
      </c>
      <c r="H659" s="16">
        <v>1900000</v>
      </c>
      <c r="I659">
        <v>-3.7246599999999998E-2</v>
      </c>
    </row>
    <row r="660" spans="1:9" x14ac:dyDescent="0.25">
      <c r="A660" t="s">
        <v>310</v>
      </c>
      <c r="B660" t="s">
        <v>131</v>
      </c>
      <c r="C660">
        <v>2012</v>
      </c>
      <c r="D660" s="130">
        <v>21.200001</v>
      </c>
      <c r="E660" s="130">
        <v>-1.5</v>
      </c>
      <c r="F660" s="130">
        <v>19946.2</v>
      </c>
      <c r="G660" s="130">
        <v>-1.6913399999999999E-2</v>
      </c>
      <c r="H660" s="16">
        <v>1900000</v>
      </c>
      <c r="I660">
        <v>-6.4267999999999999E-3</v>
      </c>
    </row>
    <row r="661" spans="1:9" x14ac:dyDescent="0.25">
      <c r="A661" t="s">
        <v>310</v>
      </c>
      <c r="B661" t="s">
        <v>131</v>
      </c>
      <c r="C661">
        <v>2013</v>
      </c>
    </row>
    <row r="662" spans="1:9" x14ac:dyDescent="0.25">
      <c r="A662" t="s">
        <v>344</v>
      </c>
      <c r="B662" t="s">
        <v>135</v>
      </c>
      <c r="C662">
        <v>1992</v>
      </c>
      <c r="D662" s="130">
        <v>13.8</v>
      </c>
      <c r="F662" s="130">
        <v>14541.6</v>
      </c>
      <c r="H662" s="16">
        <v>4500000</v>
      </c>
    </row>
    <row r="663" spans="1:9" x14ac:dyDescent="0.25">
      <c r="A663" t="s">
        <v>344</v>
      </c>
      <c r="B663" t="s">
        <v>135</v>
      </c>
      <c r="C663">
        <v>1993</v>
      </c>
      <c r="D663" s="130">
        <v>12.7</v>
      </c>
      <c r="E663" s="130">
        <v>-1.1000000000000001</v>
      </c>
      <c r="F663" s="130">
        <v>14474.3</v>
      </c>
      <c r="G663" s="130">
        <v>-4.6376999999999998E-3</v>
      </c>
      <c r="H663" s="16">
        <v>4400000</v>
      </c>
      <c r="I663">
        <v>-3.7342800000000002E-2</v>
      </c>
    </row>
    <row r="664" spans="1:9" x14ac:dyDescent="0.25">
      <c r="A664" t="s">
        <v>344</v>
      </c>
      <c r="B664" t="s">
        <v>135</v>
      </c>
      <c r="C664">
        <v>1994</v>
      </c>
      <c r="D664" s="130">
        <v>12.6</v>
      </c>
      <c r="E664" s="130">
        <v>-9.9999400000000002E-2</v>
      </c>
      <c r="F664" s="130">
        <v>14921.3</v>
      </c>
      <c r="G664" s="130">
        <v>3.04146E-2</v>
      </c>
      <c r="H664" s="16">
        <v>4200000</v>
      </c>
      <c r="I664">
        <v>-2.90634E-2</v>
      </c>
    </row>
    <row r="665" spans="1:9" x14ac:dyDescent="0.25">
      <c r="A665" t="s">
        <v>344</v>
      </c>
      <c r="B665" t="s">
        <v>135</v>
      </c>
      <c r="C665">
        <v>1995</v>
      </c>
      <c r="D665" s="130">
        <v>12.9</v>
      </c>
      <c r="E665" s="130">
        <v>0.29999920000000002</v>
      </c>
      <c r="F665" s="130">
        <v>15164.7</v>
      </c>
      <c r="G665" s="130">
        <v>1.6178100000000001E-2</v>
      </c>
      <c r="H665" s="16">
        <v>4200000</v>
      </c>
      <c r="I665">
        <v>-1.5207099999999999E-2</v>
      </c>
    </row>
    <row r="666" spans="1:9" x14ac:dyDescent="0.25">
      <c r="A666" t="s">
        <v>344</v>
      </c>
      <c r="B666" t="s">
        <v>135</v>
      </c>
      <c r="C666">
        <v>1996</v>
      </c>
      <c r="D666" s="130">
        <v>17.799999</v>
      </c>
      <c r="E666" s="130">
        <v>4.9000000000000004</v>
      </c>
      <c r="F666" s="130">
        <v>15215.2</v>
      </c>
      <c r="G666" s="130">
        <v>3.3245000000000002E-3</v>
      </c>
      <c r="H666" s="16">
        <v>4100000</v>
      </c>
      <c r="I666">
        <v>-9.0565999999999997E-3</v>
      </c>
    </row>
    <row r="667" spans="1:9" x14ac:dyDescent="0.25">
      <c r="A667" t="s">
        <v>344</v>
      </c>
      <c r="B667" t="s">
        <v>135</v>
      </c>
      <c r="C667">
        <v>1997</v>
      </c>
      <c r="D667" s="130">
        <v>17.5</v>
      </c>
      <c r="E667" s="130">
        <v>-0.29999920000000002</v>
      </c>
      <c r="F667" s="130">
        <v>15722.6</v>
      </c>
      <c r="G667" s="130">
        <v>3.28074E-2</v>
      </c>
      <c r="H667" s="16">
        <v>4100000</v>
      </c>
      <c r="I667">
        <v>-1.38814E-2</v>
      </c>
    </row>
    <row r="668" spans="1:9" x14ac:dyDescent="0.25">
      <c r="A668" t="s">
        <v>344</v>
      </c>
      <c r="B668" t="s">
        <v>135</v>
      </c>
      <c r="C668">
        <v>1998</v>
      </c>
      <c r="D668" s="130">
        <v>16</v>
      </c>
      <c r="E668" s="130">
        <v>-1.5</v>
      </c>
      <c r="F668" s="130">
        <v>16401.2</v>
      </c>
      <c r="G668" s="130">
        <v>4.2254399999999998E-2</v>
      </c>
      <c r="H668" s="16">
        <v>4100000</v>
      </c>
      <c r="I668">
        <v>-1.5893000000000001E-3</v>
      </c>
    </row>
    <row r="669" spans="1:9" x14ac:dyDescent="0.25">
      <c r="A669" t="s">
        <v>344</v>
      </c>
      <c r="B669" t="s">
        <v>135</v>
      </c>
      <c r="C669">
        <v>1999</v>
      </c>
      <c r="D669" s="130">
        <v>15.7</v>
      </c>
      <c r="E669" s="130">
        <v>-0.30000019999999999</v>
      </c>
      <c r="F669" s="130">
        <v>16973.7</v>
      </c>
      <c r="G669" s="130">
        <v>3.4308400000000003E-2</v>
      </c>
      <c r="H669" s="16">
        <v>4200000</v>
      </c>
      <c r="I669">
        <v>2.03045E-2</v>
      </c>
    </row>
    <row r="670" spans="1:9" x14ac:dyDescent="0.25">
      <c r="A670" t="s">
        <v>344</v>
      </c>
      <c r="B670" t="s">
        <v>135</v>
      </c>
      <c r="C670">
        <v>2000</v>
      </c>
      <c r="D670" s="130">
        <v>15.2</v>
      </c>
      <c r="E670" s="130">
        <v>-0.5</v>
      </c>
      <c r="F670" s="130">
        <v>17736.900000000001</v>
      </c>
      <c r="G670" s="130">
        <v>4.3981600000000003E-2</v>
      </c>
      <c r="H670" s="16">
        <v>4200000</v>
      </c>
      <c r="I670">
        <v>5.7656000000000001E-3</v>
      </c>
    </row>
    <row r="671" spans="1:9" x14ac:dyDescent="0.25">
      <c r="A671" t="s">
        <v>344</v>
      </c>
      <c r="B671" t="s">
        <v>135</v>
      </c>
      <c r="C671">
        <v>2001</v>
      </c>
      <c r="D671" s="130">
        <v>14.6</v>
      </c>
      <c r="E671" s="130">
        <v>-0.59999939999999996</v>
      </c>
      <c r="F671" s="130">
        <v>18437.5</v>
      </c>
      <c r="G671" s="130">
        <v>3.8744000000000001E-2</v>
      </c>
      <c r="H671" s="16">
        <v>4200000</v>
      </c>
      <c r="I671">
        <v>-4.9122999999999997E-3</v>
      </c>
    </row>
    <row r="672" spans="1:9" x14ac:dyDescent="0.25">
      <c r="A672" t="s">
        <v>344</v>
      </c>
      <c r="B672" t="s">
        <v>135</v>
      </c>
      <c r="C672">
        <v>2002</v>
      </c>
      <c r="D672" s="130">
        <v>13.8</v>
      </c>
      <c r="E672" s="130">
        <v>-0.80000020000000005</v>
      </c>
      <c r="F672" s="130">
        <v>19323.3</v>
      </c>
      <c r="G672" s="130">
        <v>4.6922699999999998E-2</v>
      </c>
      <c r="H672" s="16">
        <v>4200000</v>
      </c>
      <c r="I672">
        <v>3.3429999999999999E-4</v>
      </c>
    </row>
    <row r="673" spans="1:9" x14ac:dyDescent="0.25">
      <c r="A673" t="s">
        <v>344</v>
      </c>
      <c r="B673" t="s">
        <v>135</v>
      </c>
      <c r="C673">
        <v>2003</v>
      </c>
      <c r="D673" s="130">
        <v>13.3</v>
      </c>
      <c r="E673" s="130">
        <v>-0.5</v>
      </c>
      <c r="F673" s="130">
        <v>20124.900000000001</v>
      </c>
      <c r="G673" s="130">
        <v>4.0645599999999997E-2</v>
      </c>
      <c r="H673" s="16">
        <v>4200000</v>
      </c>
      <c r="I673">
        <v>1.5355000000000001E-2</v>
      </c>
    </row>
    <row r="674" spans="1:9" x14ac:dyDescent="0.25">
      <c r="A674" t="s">
        <v>344</v>
      </c>
      <c r="B674" t="s">
        <v>135</v>
      </c>
      <c r="C674">
        <v>2004</v>
      </c>
      <c r="D674" s="130">
        <v>14.4</v>
      </c>
      <c r="E674" s="130">
        <v>1.0999989999999999</v>
      </c>
      <c r="F674" s="130">
        <v>21137.1</v>
      </c>
      <c r="G674" s="130">
        <v>4.9071299999999998E-2</v>
      </c>
      <c r="H674" s="16">
        <v>4200000</v>
      </c>
      <c r="I674">
        <v>-9.835E-4</v>
      </c>
    </row>
    <row r="675" spans="1:9" x14ac:dyDescent="0.25">
      <c r="A675" t="s">
        <v>344</v>
      </c>
      <c r="B675" t="s">
        <v>135</v>
      </c>
      <c r="C675">
        <v>2005</v>
      </c>
      <c r="D675" s="130">
        <v>13.7</v>
      </c>
      <c r="E675" s="130">
        <v>-0.69999979999999995</v>
      </c>
      <c r="F675" s="130">
        <v>22018.799999999999</v>
      </c>
      <c r="G675" s="130">
        <v>4.0866899999999998E-2</v>
      </c>
      <c r="H675" s="16">
        <v>4300000</v>
      </c>
      <c r="I675">
        <v>1.02667E-2</v>
      </c>
    </row>
    <row r="676" spans="1:9" x14ac:dyDescent="0.25">
      <c r="A676" t="s">
        <v>344</v>
      </c>
      <c r="B676" t="s">
        <v>135</v>
      </c>
      <c r="C676">
        <v>2006</v>
      </c>
      <c r="D676" s="130">
        <v>12.7</v>
      </c>
      <c r="E676" s="130">
        <v>-1</v>
      </c>
      <c r="F676" s="130">
        <v>22912.5</v>
      </c>
      <c r="G676" s="130">
        <v>3.9789199999999997E-2</v>
      </c>
      <c r="H676" s="16">
        <v>4300000</v>
      </c>
      <c r="I676">
        <v>8.6073E-3</v>
      </c>
    </row>
    <row r="677" spans="1:9" x14ac:dyDescent="0.25">
      <c r="A677" t="s">
        <v>344</v>
      </c>
      <c r="B677" t="s">
        <v>135</v>
      </c>
      <c r="C677">
        <v>2007</v>
      </c>
      <c r="D677" s="130">
        <v>12.4</v>
      </c>
      <c r="E677" s="130">
        <v>-0.30000019999999999</v>
      </c>
      <c r="F677" s="130">
        <v>22974.400000000001</v>
      </c>
      <c r="G677" s="130">
        <v>2.6951000000000002E-3</v>
      </c>
      <c r="H677" s="16">
        <v>4300000</v>
      </c>
      <c r="I677">
        <v>-2.8495E-3</v>
      </c>
    </row>
    <row r="678" spans="1:9" x14ac:dyDescent="0.25">
      <c r="A678" t="s">
        <v>344</v>
      </c>
      <c r="B678" t="s">
        <v>135</v>
      </c>
      <c r="C678">
        <v>2008</v>
      </c>
      <c r="D678" s="130">
        <v>12.2</v>
      </c>
      <c r="E678" s="130">
        <v>-0.19999980000000001</v>
      </c>
      <c r="F678" s="130">
        <v>23220.400000000001</v>
      </c>
      <c r="G678" s="130">
        <v>1.0652500000000001E-2</v>
      </c>
      <c r="H678" s="16">
        <v>4300000</v>
      </c>
      <c r="I678">
        <v>-5.2474000000000002E-3</v>
      </c>
    </row>
    <row r="679" spans="1:9" x14ac:dyDescent="0.25">
      <c r="A679" t="s">
        <v>344</v>
      </c>
      <c r="B679" t="s">
        <v>135</v>
      </c>
      <c r="C679">
        <v>2009</v>
      </c>
      <c r="D679" s="130">
        <v>12.5</v>
      </c>
      <c r="E679" s="130">
        <v>0.30000019999999999</v>
      </c>
      <c r="F679" s="130">
        <v>21675.3</v>
      </c>
      <c r="G679" s="130">
        <v>-6.8858100000000005E-2</v>
      </c>
      <c r="H679" s="16">
        <v>4300000</v>
      </c>
      <c r="I679">
        <v>1.1519999999999999E-4</v>
      </c>
    </row>
    <row r="680" spans="1:9" x14ac:dyDescent="0.25">
      <c r="A680" t="s">
        <v>344</v>
      </c>
      <c r="B680" t="s">
        <v>135</v>
      </c>
      <c r="C680">
        <v>2010</v>
      </c>
      <c r="D680" s="130">
        <v>12.3</v>
      </c>
      <c r="E680" s="130">
        <v>-0.19999980000000001</v>
      </c>
      <c r="F680" s="130">
        <v>21997.7</v>
      </c>
      <c r="G680" s="130">
        <v>1.4762900000000001E-2</v>
      </c>
      <c r="H680" s="16">
        <v>4300000</v>
      </c>
      <c r="I680">
        <v>8.2807000000000002E-3</v>
      </c>
    </row>
    <row r="681" spans="1:9" x14ac:dyDescent="0.25">
      <c r="A681" t="s">
        <v>344</v>
      </c>
      <c r="B681" t="s">
        <v>135</v>
      </c>
      <c r="C681">
        <v>2011</v>
      </c>
      <c r="D681" s="130">
        <v>12.1</v>
      </c>
      <c r="E681" s="130">
        <v>-0.19999980000000001</v>
      </c>
      <c r="F681" s="130">
        <v>22413.1</v>
      </c>
      <c r="G681" s="130">
        <v>1.87073E-2</v>
      </c>
      <c r="H681" s="16">
        <v>4300000</v>
      </c>
      <c r="I681">
        <v>5.2170000000000003E-3</v>
      </c>
    </row>
    <row r="682" spans="1:9" x14ac:dyDescent="0.25">
      <c r="A682" t="s">
        <v>344</v>
      </c>
      <c r="B682" t="s">
        <v>135</v>
      </c>
      <c r="C682">
        <v>2012</v>
      </c>
      <c r="D682" s="130">
        <v>11.7</v>
      </c>
      <c r="E682" s="130">
        <v>-0.40000059999999998</v>
      </c>
      <c r="F682" s="130">
        <v>22146.1</v>
      </c>
      <c r="G682" s="130">
        <v>-1.1982E-2</v>
      </c>
      <c r="H682" s="16">
        <v>4400000</v>
      </c>
      <c r="I682">
        <v>1.17173E-2</v>
      </c>
    </row>
    <row r="683" spans="1:9" x14ac:dyDescent="0.25">
      <c r="A683" t="s">
        <v>344</v>
      </c>
      <c r="B683" t="s">
        <v>135</v>
      </c>
      <c r="C683">
        <v>2013</v>
      </c>
    </row>
    <row r="684" spans="1:9" x14ac:dyDescent="0.25">
      <c r="A684" t="s">
        <v>347</v>
      </c>
      <c r="B684" t="s">
        <v>9</v>
      </c>
      <c r="C684">
        <v>1997</v>
      </c>
      <c r="D684" s="130">
        <v>64.5</v>
      </c>
      <c r="F684" s="130">
        <v>6314.65</v>
      </c>
      <c r="H684" s="16">
        <v>89000000</v>
      </c>
    </row>
    <row r="685" spans="1:9" x14ac:dyDescent="0.25">
      <c r="A685" t="s">
        <v>347</v>
      </c>
      <c r="B685" t="s">
        <v>9</v>
      </c>
      <c r="C685">
        <v>1998</v>
      </c>
      <c r="D685" s="130">
        <v>67.099997999999999</v>
      </c>
      <c r="E685" s="130">
        <v>2.5999979999999998</v>
      </c>
      <c r="F685" s="130">
        <v>5406.28</v>
      </c>
      <c r="G685" s="130">
        <v>-0.15531159999999999</v>
      </c>
      <c r="H685" s="16">
        <v>91000000</v>
      </c>
      <c r="I685">
        <v>1.5196299999999999E-2</v>
      </c>
    </row>
    <row r="686" spans="1:9" x14ac:dyDescent="0.25">
      <c r="A686" t="s">
        <v>347</v>
      </c>
      <c r="B686" t="s">
        <v>9</v>
      </c>
      <c r="C686">
        <v>1999</v>
      </c>
      <c r="D686" s="130">
        <v>66.900002000000001</v>
      </c>
      <c r="E686" s="130">
        <v>-0.19999690000000001</v>
      </c>
      <c r="F686" s="130">
        <v>5370.84</v>
      </c>
      <c r="G686" s="130">
        <v>-6.5764999999999999E-3</v>
      </c>
      <c r="H686" s="16">
        <v>96000000</v>
      </c>
      <c r="I686">
        <v>5.8275300000000002E-2</v>
      </c>
    </row>
    <row r="687" spans="1:9" x14ac:dyDescent="0.25">
      <c r="A687" t="s">
        <v>347</v>
      </c>
      <c r="B687" t="s">
        <v>9</v>
      </c>
      <c r="C687">
        <v>2000</v>
      </c>
      <c r="D687" s="130">
        <v>67.199996999999996</v>
      </c>
      <c r="E687" s="130">
        <v>0.29999540000000002</v>
      </c>
      <c r="F687" s="130">
        <v>5554.4</v>
      </c>
      <c r="G687" s="130">
        <v>3.3605599999999999E-2</v>
      </c>
      <c r="H687" s="16">
        <v>98000000</v>
      </c>
      <c r="I687">
        <v>1.9297000000000002E-2</v>
      </c>
    </row>
    <row r="688" spans="1:9" x14ac:dyDescent="0.25">
      <c r="A688" t="s">
        <v>347</v>
      </c>
      <c r="B688" t="s">
        <v>9</v>
      </c>
      <c r="C688">
        <v>2001</v>
      </c>
      <c r="D688" s="130">
        <v>66.699996999999996</v>
      </c>
      <c r="E688" s="130">
        <v>-0.5</v>
      </c>
      <c r="F688" s="130">
        <v>5674.43</v>
      </c>
      <c r="G688" s="130">
        <v>2.1381399999999998E-2</v>
      </c>
      <c r="H688" s="16">
        <v>99000000</v>
      </c>
      <c r="I688">
        <v>1.7403399999999999E-2</v>
      </c>
    </row>
    <row r="689" spans="1:9" x14ac:dyDescent="0.25">
      <c r="A689" t="s">
        <v>347</v>
      </c>
      <c r="B689" t="s">
        <v>9</v>
      </c>
      <c r="C689">
        <v>2002</v>
      </c>
      <c r="D689" s="130">
        <v>67.699996999999996</v>
      </c>
      <c r="E689" s="130">
        <v>1</v>
      </c>
      <c r="F689" s="130">
        <v>5845.15</v>
      </c>
      <c r="G689" s="130">
        <v>2.9642100000000001E-2</v>
      </c>
      <c r="H689" s="16">
        <v>100000000</v>
      </c>
      <c r="I689">
        <v>1.5760400000000001E-2</v>
      </c>
    </row>
    <row r="690" spans="1:9" x14ac:dyDescent="0.25">
      <c r="A690" t="s">
        <v>347</v>
      </c>
      <c r="B690" t="s">
        <v>9</v>
      </c>
      <c r="C690">
        <v>2003</v>
      </c>
      <c r="D690" s="130">
        <v>69</v>
      </c>
      <c r="E690" s="130">
        <v>1.300003</v>
      </c>
      <c r="F690" s="130">
        <v>6037.33</v>
      </c>
      <c r="G690" s="130">
        <v>3.2349599999999999E-2</v>
      </c>
      <c r="H690" s="16">
        <v>100000000</v>
      </c>
      <c r="I690">
        <v>2.13046E-2</v>
      </c>
    </row>
    <row r="691" spans="1:9" x14ac:dyDescent="0.25">
      <c r="A691" t="s">
        <v>347</v>
      </c>
      <c r="B691" t="s">
        <v>9</v>
      </c>
      <c r="C691">
        <v>2004</v>
      </c>
      <c r="D691" s="130">
        <v>68.099997999999999</v>
      </c>
      <c r="E691" s="130">
        <v>-0.90000150000000001</v>
      </c>
      <c r="F691" s="130">
        <v>6250.86</v>
      </c>
      <c r="G691" s="130">
        <v>3.47557E-2</v>
      </c>
      <c r="H691" s="16">
        <v>100000000</v>
      </c>
      <c r="I691">
        <v>2.07723E-2</v>
      </c>
    </row>
    <row r="692" spans="1:9" x14ac:dyDescent="0.25">
      <c r="A692" t="s">
        <v>347</v>
      </c>
      <c r="B692" t="s">
        <v>9</v>
      </c>
      <c r="C692">
        <v>2005</v>
      </c>
      <c r="D692" s="130">
        <v>66.400002000000001</v>
      </c>
      <c r="E692" s="130">
        <v>-1.699997</v>
      </c>
      <c r="F692" s="130">
        <v>6512.89</v>
      </c>
      <c r="G692" s="130">
        <v>4.1065200000000003E-2</v>
      </c>
      <c r="H692" s="16">
        <v>110000000</v>
      </c>
      <c r="I692">
        <v>2.2445E-2</v>
      </c>
    </row>
    <row r="693" spans="1:9" x14ac:dyDescent="0.25">
      <c r="A693" t="s">
        <v>347</v>
      </c>
      <c r="B693" t="s">
        <v>9</v>
      </c>
      <c r="C693">
        <v>2006</v>
      </c>
      <c r="D693" s="130">
        <v>66.099997999999999</v>
      </c>
      <c r="E693" s="130">
        <v>-0.30000310000000002</v>
      </c>
      <c r="F693" s="130">
        <v>6773.73</v>
      </c>
      <c r="G693" s="130">
        <v>3.9267499999999997E-2</v>
      </c>
      <c r="H693" s="16">
        <v>110000000</v>
      </c>
      <c r="I693">
        <v>1.7093899999999999E-2</v>
      </c>
    </row>
    <row r="694" spans="1:9" x14ac:dyDescent="0.25">
      <c r="A694" t="s">
        <v>347</v>
      </c>
      <c r="B694" t="s">
        <v>9</v>
      </c>
      <c r="C694">
        <v>2007</v>
      </c>
      <c r="D694" s="130">
        <v>66</v>
      </c>
      <c r="E694" s="130">
        <v>-9.9998500000000004E-2</v>
      </c>
      <c r="F694" s="130">
        <v>7101.76</v>
      </c>
      <c r="G694" s="130">
        <v>4.7290800000000001E-2</v>
      </c>
      <c r="H694" s="16">
        <v>110000000</v>
      </c>
      <c r="I694">
        <v>1.69762E-2</v>
      </c>
    </row>
    <row r="695" spans="1:9" x14ac:dyDescent="0.25">
      <c r="A695" t="s">
        <v>347</v>
      </c>
      <c r="B695" t="s">
        <v>9</v>
      </c>
      <c r="C695">
        <v>2008</v>
      </c>
      <c r="D695" s="130">
        <v>67.400002000000001</v>
      </c>
      <c r="E695" s="130">
        <v>1.400002</v>
      </c>
      <c r="F695" s="130">
        <v>7423.71</v>
      </c>
      <c r="G695" s="130">
        <v>4.4337300000000003E-2</v>
      </c>
      <c r="H695" s="16">
        <v>110000000</v>
      </c>
      <c r="I695">
        <v>1.7313499999999999E-2</v>
      </c>
    </row>
    <row r="696" spans="1:9" x14ac:dyDescent="0.25">
      <c r="A696" t="s">
        <v>347</v>
      </c>
      <c r="B696" t="s">
        <v>9</v>
      </c>
      <c r="C696">
        <v>2009</v>
      </c>
      <c r="D696" s="130">
        <v>66.599997999999999</v>
      </c>
      <c r="E696" s="130">
        <v>-0.80000309999999997</v>
      </c>
      <c r="F696" s="130">
        <v>7661.27</v>
      </c>
      <c r="G696" s="130">
        <v>3.1497999999999998E-2</v>
      </c>
      <c r="H696" s="16">
        <v>110000000</v>
      </c>
      <c r="I696">
        <v>2.1924300000000001E-2</v>
      </c>
    </row>
    <row r="697" spans="1:9" x14ac:dyDescent="0.25">
      <c r="A697" t="s">
        <v>347</v>
      </c>
      <c r="B697" t="s">
        <v>9</v>
      </c>
      <c r="C697">
        <v>2010</v>
      </c>
      <c r="D697" s="130">
        <v>64.599997999999999</v>
      </c>
      <c r="E697" s="130">
        <v>-2</v>
      </c>
      <c r="F697" s="130">
        <v>8030.24</v>
      </c>
      <c r="G697" s="130">
        <v>4.7037099999999998E-2</v>
      </c>
      <c r="H697" s="16">
        <v>110000000</v>
      </c>
      <c r="I697">
        <v>1.7639499999999999E-2</v>
      </c>
    </row>
    <row r="698" spans="1:9" x14ac:dyDescent="0.25">
      <c r="A698" t="s">
        <v>347</v>
      </c>
      <c r="B698" t="s">
        <v>9</v>
      </c>
      <c r="C698">
        <v>2011</v>
      </c>
      <c r="D698" s="130">
        <v>60.599997999999999</v>
      </c>
      <c r="E698" s="130">
        <v>-4</v>
      </c>
      <c r="F698" s="130">
        <v>8441.82</v>
      </c>
      <c r="G698" s="130">
        <v>4.9984000000000001E-2</v>
      </c>
      <c r="H698" s="16">
        <v>120000000</v>
      </c>
      <c r="I698">
        <v>2.0990000000000002E-2</v>
      </c>
    </row>
    <row r="699" spans="1:9" x14ac:dyDescent="0.25">
      <c r="A699" t="s">
        <v>347</v>
      </c>
      <c r="B699" t="s">
        <v>9</v>
      </c>
      <c r="C699">
        <v>2012</v>
      </c>
      <c r="F699" s="130">
        <v>8856.2000000000007</v>
      </c>
      <c r="G699" s="130">
        <v>4.7919299999999998E-2</v>
      </c>
      <c r="H699" s="16">
        <v>120000000</v>
      </c>
      <c r="I699">
        <v>2.2370600000000001E-2</v>
      </c>
    </row>
    <row r="700" spans="1:9" x14ac:dyDescent="0.25">
      <c r="A700" t="s">
        <v>347</v>
      </c>
      <c r="B700" t="s">
        <v>9</v>
      </c>
      <c r="C700">
        <v>2013</v>
      </c>
    </row>
    <row r="701" spans="1:9" x14ac:dyDescent="0.25">
      <c r="A701" t="s">
        <v>349</v>
      </c>
      <c r="B701" t="s">
        <v>167</v>
      </c>
      <c r="C701">
        <v>1990</v>
      </c>
      <c r="D701" s="130">
        <v>25.1</v>
      </c>
      <c r="F701" s="130">
        <v>20993.3</v>
      </c>
      <c r="H701" s="16">
        <v>1400000</v>
      </c>
    </row>
    <row r="702" spans="1:9" x14ac:dyDescent="0.25">
      <c r="A702" t="s">
        <v>349</v>
      </c>
      <c r="B702" t="s">
        <v>167</v>
      </c>
      <c r="C702">
        <v>1991</v>
      </c>
      <c r="D702" s="130">
        <v>23.5</v>
      </c>
      <c r="E702" s="130">
        <v>-1.6</v>
      </c>
      <c r="F702" s="130">
        <v>21275.8</v>
      </c>
      <c r="G702" s="130">
        <v>1.33638E-2</v>
      </c>
      <c r="H702" s="16">
        <v>1400000</v>
      </c>
      <c r="I702">
        <v>1.90437E-2</v>
      </c>
    </row>
    <row r="703" spans="1:9" x14ac:dyDescent="0.25">
      <c r="A703" t="s">
        <v>349</v>
      </c>
      <c r="B703" t="s">
        <v>167</v>
      </c>
      <c r="C703">
        <v>1992</v>
      </c>
      <c r="D703" s="130">
        <v>23.9</v>
      </c>
      <c r="E703" s="130">
        <v>0.39999960000000001</v>
      </c>
      <c r="F703" s="130">
        <v>21837.599999999999</v>
      </c>
      <c r="G703" s="130">
        <v>2.6062999999999999E-2</v>
      </c>
      <c r="H703" s="16">
        <v>1400000</v>
      </c>
      <c r="I703">
        <v>-4.6258000000000002E-3</v>
      </c>
    </row>
    <row r="704" spans="1:9" x14ac:dyDescent="0.25">
      <c r="A704" t="s">
        <v>349</v>
      </c>
      <c r="B704" t="s">
        <v>167</v>
      </c>
      <c r="C704">
        <v>1993</v>
      </c>
      <c r="D704" s="130">
        <v>23.4</v>
      </c>
      <c r="E704" s="130">
        <v>-0.5</v>
      </c>
      <c r="F704" s="130">
        <v>22313.8</v>
      </c>
      <c r="G704" s="130">
        <v>2.15721E-2</v>
      </c>
      <c r="H704" s="16">
        <v>1400000</v>
      </c>
      <c r="I704">
        <v>2.2819800000000001E-2</v>
      </c>
    </row>
    <row r="705" spans="1:9" x14ac:dyDescent="0.25">
      <c r="A705" t="s">
        <v>349</v>
      </c>
      <c r="B705" t="s">
        <v>167</v>
      </c>
      <c r="C705">
        <v>1994</v>
      </c>
      <c r="D705" s="130">
        <v>22.6</v>
      </c>
      <c r="E705" s="130">
        <v>-0.79999920000000002</v>
      </c>
      <c r="F705" s="130">
        <v>23505.3</v>
      </c>
      <c r="G705" s="130">
        <v>5.20201E-2</v>
      </c>
      <c r="H705" s="16">
        <v>1400000</v>
      </c>
      <c r="I705">
        <v>2.80304E-2</v>
      </c>
    </row>
    <row r="706" spans="1:9" x14ac:dyDescent="0.25">
      <c r="A706" t="s">
        <v>349</v>
      </c>
      <c r="B706" t="s">
        <v>167</v>
      </c>
      <c r="C706">
        <v>1995</v>
      </c>
      <c r="D706" s="130">
        <v>22.1</v>
      </c>
      <c r="E706" s="130">
        <v>-0.5</v>
      </c>
      <c r="F706" s="130">
        <v>25638.1</v>
      </c>
      <c r="G706" s="130">
        <v>8.6854899999999999E-2</v>
      </c>
      <c r="H706" s="16">
        <v>1500000</v>
      </c>
      <c r="I706">
        <v>1.7522800000000002E-2</v>
      </c>
    </row>
    <row r="707" spans="1:9" x14ac:dyDescent="0.25">
      <c r="A707" t="s">
        <v>349</v>
      </c>
      <c r="B707" t="s">
        <v>167</v>
      </c>
      <c r="C707">
        <v>1996</v>
      </c>
      <c r="D707" s="130">
        <v>20.9</v>
      </c>
      <c r="E707" s="130">
        <v>-1.2000010000000001</v>
      </c>
      <c r="F707" s="130">
        <v>27903.8</v>
      </c>
      <c r="G707" s="130">
        <v>8.4684400000000007E-2</v>
      </c>
      <c r="H707" s="16">
        <v>1500000</v>
      </c>
      <c r="I707">
        <v>3.4897900000000003E-2</v>
      </c>
    </row>
    <row r="708" spans="1:9" x14ac:dyDescent="0.25">
      <c r="A708" t="s">
        <v>349</v>
      </c>
      <c r="B708" t="s">
        <v>167</v>
      </c>
      <c r="C708">
        <v>1997</v>
      </c>
      <c r="D708" s="130">
        <v>20.700001</v>
      </c>
      <c r="E708" s="130">
        <v>-0.19999890000000001</v>
      </c>
      <c r="F708" s="130">
        <v>30739.3</v>
      </c>
      <c r="G708" s="130">
        <v>9.6777000000000002E-2</v>
      </c>
      <c r="H708" s="16">
        <v>1600000</v>
      </c>
      <c r="I708">
        <v>2.7283700000000001E-2</v>
      </c>
    </row>
    <row r="709" spans="1:9" x14ac:dyDescent="0.25">
      <c r="A709" t="s">
        <v>349</v>
      </c>
      <c r="B709" t="s">
        <v>167</v>
      </c>
      <c r="C709">
        <v>1998</v>
      </c>
      <c r="D709" s="130">
        <v>20.299999</v>
      </c>
      <c r="E709" s="130">
        <v>-0.40000150000000001</v>
      </c>
      <c r="F709" s="130">
        <v>33137.199999999997</v>
      </c>
      <c r="G709" s="130">
        <v>7.5115199999999993E-2</v>
      </c>
      <c r="H709" s="16">
        <v>1600000</v>
      </c>
      <c r="I709">
        <v>5.5415399999999997E-2</v>
      </c>
    </row>
    <row r="710" spans="1:9" x14ac:dyDescent="0.25">
      <c r="A710" t="s">
        <v>349</v>
      </c>
      <c r="B710" t="s">
        <v>167</v>
      </c>
      <c r="C710">
        <v>1999</v>
      </c>
      <c r="D710" s="130">
        <v>19.299999</v>
      </c>
      <c r="E710" s="130">
        <v>-1</v>
      </c>
      <c r="F710" s="130">
        <v>36360.5</v>
      </c>
      <c r="G710" s="130">
        <v>9.2828800000000003E-2</v>
      </c>
      <c r="H710" s="16">
        <v>1700000</v>
      </c>
      <c r="I710">
        <v>5.3091199999999998E-2</v>
      </c>
    </row>
    <row r="711" spans="1:9" x14ac:dyDescent="0.25">
      <c r="A711" t="s">
        <v>349</v>
      </c>
      <c r="B711" t="s">
        <v>167</v>
      </c>
      <c r="C711">
        <v>2000</v>
      </c>
      <c r="D711" s="130">
        <v>19.100000000000001</v>
      </c>
      <c r="E711" s="130">
        <v>-0.19999890000000001</v>
      </c>
      <c r="F711" s="130">
        <v>39699.599999999999</v>
      </c>
      <c r="G711" s="130">
        <v>8.7856299999999998E-2</v>
      </c>
      <c r="H711" s="16">
        <v>1800000</v>
      </c>
      <c r="I711">
        <v>4.3339700000000002E-2</v>
      </c>
    </row>
    <row r="712" spans="1:9" x14ac:dyDescent="0.25">
      <c r="A712" t="s">
        <v>349</v>
      </c>
      <c r="B712" t="s">
        <v>167</v>
      </c>
      <c r="C712">
        <v>2001</v>
      </c>
      <c r="D712" s="130">
        <v>18.399999999999999</v>
      </c>
      <c r="E712" s="130">
        <v>-0.70000079999999998</v>
      </c>
      <c r="F712" s="130">
        <v>41020.300000000003</v>
      </c>
      <c r="G712" s="130">
        <v>3.27263E-2</v>
      </c>
      <c r="H712" s="16">
        <v>1800000</v>
      </c>
      <c r="I712">
        <v>3.1599599999999999E-2</v>
      </c>
    </row>
    <row r="713" spans="1:9" x14ac:dyDescent="0.25">
      <c r="A713" t="s">
        <v>349</v>
      </c>
      <c r="B713" t="s">
        <v>167</v>
      </c>
      <c r="C713">
        <v>2002</v>
      </c>
      <c r="D713" s="130">
        <v>18</v>
      </c>
      <c r="E713" s="130">
        <v>-0.39999960000000001</v>
      </c>
      <c r="F713" s="130">
        <v>42519.8</v>
      </c>
      <c r="G713" s="130">
        <v>3.5903900000000002E-2</v>
      </c>
      <c r="H713" s="16">
        <v>1800000</v>
      </c>
      <c r="I713">
        <v>3.73929E-2</v>
      </c>
    </row>
    <row r="714" spans="1:9" x14ac:dyDescent="0.25">
      <c r="A714" t="s">
        <v>349</v>
      </c>
      <c r="B714" t="s">
        <v>167</v>
      </c>
      <c r="C714">
        <v>2003</v>
      </c>
      <c r="D714" s="130">
        <v>17.700001</v>
      </c>
      <c r="E714" s="130">
        <v>-0.29999920000000002</v>
      </c>
      <c r="F714" s="130">
        <v>43393.1</v>
      </c>
      <c r="G714" s="130">
        <v>2.0328499999999999E-2</v>
      </c>
      <c r="H714" s="16">
        <v>1900000</v>
      </c>
      <c r="I714">
        <v>3.1685600000000001E-2</v>
      </c>
    </row>
    <row r="715" spans="1:9" x14ac:dyDescent="0.25">
      <c r="A715" t="s">
        <v>349</v>
      </c>
      <c r="B715" t="s">
        <v>167</v>
      </c>
      <c r="C715">
        <v>2004</v>
      </c>
      <c r="D715" s="130">
        <v>17.899999999999999</v>
      </c>
      <c r="E715" s="130">
        <v>0.19999890000000001</v>
      </c>
      <c r="F715" s="130">
        <v>44396.3</v>
      </c>
      <c r="G715" s="130">
        <v>2.2856700000000001E-2</v>
      </c>
      <c r="H715" s="16">
        <v>1900000</v>
      </c>
      <c r="I715">
        <v>4.0687300000000003E-2</v>
      </c>
    </row>
    <row r="716" spans="1:9" x14ac:dyDescent="0.25">
      <c r="A716" t="s">
        <v>349</v>
      </c>
      <c r="B716" t="s">
        <v>167</v>
      </c>
      <c r="C716">
        <v>2005</v>
      </c>
      <c r="D716" s="130">
        <v>17</v>
      </c>
      <c r="E716" s="130">
        <v>-0.89999960000000001</v>
      </c>
      <c r="F716" s="130">
        <v>46080.800000000003</v>
      </c>
      <c r="G716" s="130">
        <v>3.7241000000000003E-2</v>
      </c>
      <c r="H716" s="16">
        <v>2100000</v>
      </c>
      <c r="I716">
        <v>7.9105999999999996E-2</v>
      </c>
    </row>
    <row r="717" spans="1:9" x14ac:dyDescent="0.25">
      <c r="A717" t="s">
        <v>349</v>
      </c>
      <c r="B717" t="s">
        <v>167</v>
      </c>
      <c r="C717">
        <v>2006</v>
      </c>
      <c r="D717" s="130">
        <v>16.200001</v>
      </c>
      <c r="E717" s="130">
        <v>-0.79999920000000002</v>
      </c>
      <c r="F717" s="130">
        <v>47318.400000000001</v>
      </c>
      <c r="G717" s="130">
        <v>2.6502600000000001E-2</v>
      </c>
      <c r="H717" s="16">
        <v>2100000</v>
      </c>
      <c r="I717">
        <v>6.06627E-2</v>
      </c>
    </row>
    <row r="718" spans="1:9" x14ac:dyDescent="0.25">
      <c r="A718" t="s">
        <v>349</v>
      </c>
      <c r="B718" t="s">
        <v>167</v>
      </c>
      <c r="C718">
        <v>2007</v>
      </c>
      <c r="D718" s="130">
        <v>17</v>
      </c>
      <c r="E718" s="130">
        <v>0.79999920000000002</v>
      </c>
      <c r="F718" s="130">
        <v>48261</v>
      </c>
      <c r="G718" s="130">
        <v>1.9723899999999999E-2</v>
      </c>
      <c r="H718" s="16">
        <v>2200000</v>
      </c>
      <c r="I718">
        <v>5.8557600000000001E-2</v>
      </c>
    </row>
    <row r="719" spans="1:9" x14ac:dyDescent="0.25">
      <c r="A719" t="s">
        <v>349</v>
      </c>
      <c r="B719" t="s">
        <v>167</v>
      </c>
      <c r="C719">
        <v>2008</v>
      </c>
      <c r="D719" s="130">
        <v>17.399999999999999</v>
      </c>
      <c r="E719" s="130">
        <v>0.39999960000000001</v>
      </c>
      <c r="F719" s="130">
        <v>46265.5</v>
      </c>
      <c r="G719" s="130">
        <v>-4.22277E-2</v>
      </c>
      <c r="H719" s="16">
        <v>2200000</v>
      </c>
      <c r="I719">
        <v>1.6449700000000001E-2</v>
      </c>
    </row>
    <row r="720" spans="1:9" x14ac:dyDescent="0.25">
      <c r="A720" t="s">
        <v>349</v>
      </c>
      <c r="B720" t="s">
        <v>167</v>
      </c>
      <c r="C720">
        <v>2009</v>
      </c>
      <c r="D720" s="130">
        <v>17.600000000000001</v>
      </c>
      <c r="E720" s="130">
        <v>0.20000080000000001</v>
      </c>
      <c r="F720" s="130">
        <v>42874</v>
      </c>
      <c r="G720" s="130">
        <v>-7.61299E-2</v>
      </c>
      <c r="H720" s="16">
        <v>2200000</v>
      </c>
      <c r="I720">
        <v>-1.6378400000000001E-2</v>
      </c>
    </row>
    <row r="721" spans="1:9" x14ac:dyDescent="0.25">
      <c r="A721" t="s">
        <v>349</v>
      </c>
      <c r="B721" t="s">
        <v>167</v>
      </c>
      <c r="C721">
        <v>2010</v>
      </c>
      <c r="D721" s="130">
        <v>16.899999999999999</v>
      </c>
      <c r="E721" s="130">
        <v>-0.70000079999999998</v>
      </c>
      <c r="F721" s="130">
        <v>42187.7</v>
      </c>
      <c r="G721" s="130">
        <v>-1.6138099999999999E-2</v>
      </c>
      <c r="H721" s="16">
        <v>2200000</v>
      </c>
      <c r="I721">
        <v>-2.3650999999999998E-2</v>
      </c>
    </row>
    <row r="722" spans="1:9" x14ac:dyDescent="0.25">
      <c r="A722" t="s">
        <v>349</v>
      </c>
      <c r="B722" t="s">
        <v>167</v>
      </c>
      <c r="C722">
        <v>2011</v>
      </c>
      <c r="D722" s="130">
        <v>16.399999999999999</v>
      </c>
      <c r="E722" s="130">
        <v>-0.5</v>
      </c>
      <c r="F722" s="130">
        <v>42945.9</v>
      </c>
      <c r="G722" s="130">
        <v>1.7813699999999998E-2</v>
      </c>
      <c r="H722" s="16">
        <v>2200000</v>
      </c>
      <c r="I722">
        <v>-9.8369000000000009E-3</v>
      </c>
    </row>
    <row r="723" spans="1:9" x14ac:dyDescent="0.25">
      <c r="A723" t="s">
        <v>349</v>
      </c>
      <c r="B723" t="s">
        <v>167</v>
      </c>
      <c r="C723">
        <v>2012</v>
      </c>
      <c r="D723" s="130">
        <v>16.399999999999999</v>
      </c>
      <c r="E723" s="130">
        <v>0</v>
      </c>
      <c r="F723" s="130">
        <v>42918.6</v>
      </c>
      <c r="G723" s="130">
        <v>-6.3610000000000001E-4</v>
      </c>
      <c r="H723" s="16">
        <v>2200000</v>
      </c>
      <c r="I723">
        <v>-3.3808000000000002E-3</v>
      </c>
    </row>
    <row r="724" spans="1:9" x14ac:dyDescent="0.25">
      <c r="A724" t="s">
        <v>349</v>
      </c>
      <c r="B724" t="s">
        <v>167</v>
      </c>
      <c r="C724">
        <v>2013</v>
      </c>
    </row>
    <row r="725" spans="1:9" x14ac:dyDescent="0.25">
      <c r="A725" t="s">
        <v>345</v>
      </c>
      <c r="B725" t="s">
        <v>179</v>
      </c>
      <c r="C725">
        <v>1990</v>
      </c>
      <c r="D725" s="130">
        <v>15.1</v>
      </c>
      <c r="F725" s="130">
        <v>29217.4</v>
      </c>
      <c r="H725">
        <v>143061</v>
      </c>
    </row>
    <row r="726" spans="1:9" x14ac:dyDescent="0.25">
      <c r="A726" t="s">
        <v>345</v>
      </c>
      <c r="B726" t="s">
        <v>179</v>
      </c>
      <c r="C726">
        <v>1991</v>
      </c>
      <c r="D726" s="130">
        <v>20.299999</v>
      </c>
      <c r="E726" s="130">
        <v>5.199999</v>
      </c>
      <c r="F726" s="130">
        <v>28816.2</v>
      </c>
      <c r="G726" s="130">
        <v>-1.38292E-2</v>
      </c>
      <c r="H726">
        <v>145377</v>
      </c>
      <c r="I726">
        <v>1.6188999999999999E-2</v>
      </c>
    </row>
    <row r="727" spans="1:9" x14ac:dyDescent="0.25">
      <c r="A727" t="s">
        <v>345</v>
      </c>
      <c r="B727" t="s">
        <v>179</v>
      </c>
      <c r="C727">
        <v>1992</v>
      </c>
      <c r="D727" s="130">
        <v>19.299999</v>
      </c>
      <c r="E727" s="130">
        <v>-1</v>
      </c>
      <c r="F727" s="130">
        <v>27496.2</v>
      </c>
      <c r="G727" s="130">
        <v>-4.6887400000000003E-2</v>
      </c>
      <c r="H727">
        <v>148973</v>
      </c>
      <c r="I727">
        <v>2.5134699999999999E-2</v>
      </c>
    </row>
    <row r="728" spans="1:9" x14ac:dyDescent="0.25">
      <c r="A728" t="s">
        <v>345</v>
      </c>
      <c r="B728" t="s">
        <v>179</v>
      </c>
      <c r="C728">
        <v>1993</v>
      </c>
      <c r="D728" s="130">
        <v>18</v>
      </c>
      <c r="E728" s="130">
        <v>-1.2999989999999999</v>
      </c>
      <c r="F728" s="130">
        <v>27575.599999999999</v>
      </c>
      <c r="G728" s="130">
        <v>2.8811000000000002E-3</v>
      </c>
      <c r="H728">
        <v>148659</v>
      </c>
      <c r="I728">
        <v>-2.1933E-3</v>
      </c>
    </row>
    <row r="729" spans="1:9" x14ac:dyDescent="0.25">
      <c r="A729" t="s">
        <v>345</v>
      </c>
      <c r="B729" t="s">
        <v>179</v>
      </c>
      <c r="C729">
        <v>1994</v>
      </c>
      <c r="D729" s="130">
        <v>18.399999999999999</v>
      </c>
      <c r="E729" s="130">
        <v>0.39999960000000001</v>
      </c>
      <c r="F729" s="130">
        <v>28324.1</v>
      </c>
      <c r="G729" s="130">
        <v>2.6783899999999999E-2</v>
      </c>
      <c r="H729">
        <v>149933</v>
      </c>
      <c r="I729">
        <v>8.9078000000000004E-3</v>
      </c>
    </row>
    <row r="730" spans="1:9" x14ac:dyDescent="0.25">
      <c r="A730" t="s">
        <v>345</v>
      </c>
      <c r="B730" t="s">
        <v>179</v>
      </c>
      <c r="C730">
        <v>1995</v>
      </c>
      <c r="D730" s="130">
        <v>18.899999999999999</v>
      </c>
      <c r="E730" s="130">
        <v>0.5</v>
      </c>
      <c r="F730" s="130">
        <v>28203.8</v>
      </c>
      <c r="G730" s="130">
        <v>-4.2591E-3</v>
      </c>
      <c r="H730">
        <v>153845</v>
      </c>
      <c r="I730">
        <v>2.7338999999999999E-2</v>
      </c>
    </row>
    <row r="731" spans="1:9" x14ac:dyDescent="0.25">
      <c r="A731" t="s">
        <v>345</v>
      </c>
      <c r="B731" t="s">
        <v>179</v>
      </c>
      <c r="C731">
        <v>1996</v>
      </c>
      <c r="D731" s="130">
        <v>18</v>
      </c>
      <c r="E731" s="130">
        <v>-0.89999960000000001</v>
      </c>
      <c r="F731" s="130">
        <v>29394.2</v>
      </c>
      <c r="G731" s="130">
        <v>4.1341799999999998E-2</v>
      </c>
      <c r="H731">
        <v>152598</v>
      </c>
      <c r="I731">
        <v>-8.7112000000000005E-3</v>
      </c>
    </row>
    <row r="732" spans="1:9" x14ac:dyDescent="0.25">
      <c r="A732" t="s">
        <v>345</v>
      </c>
      <c r="B732" t="s">
        <v>179</v>
      </c>
      <c r="C732">
        <v>1997</v>
      </c>
      <c r="D732" s="130">
        <v>17.100000000000001</v>
      </c>
      <c r="E732" s="130">
        <v>-0.89999960000000001</v>
      </c>
      <c r="F732" s="130">
        <v>30586.799999999999</v>
      </c>
      <c r="G732" s="130">
        <v>3.9771099999999997E-2</v>
      </c>
      <c r="H732">
        <v>153466</v>
      </c>
      <c r="I732">
        <v>6.0673999999999997E-3</v>
      </c>
    </row>
    <row r="733" spans="1:9" x14ac:dyDescent="0.25">
      <c r="A733" t="s">
        <v>345</v>
      </c>
      <c r="B733" t="s">
        <v>179</v>
      </c>
      <c r="C733">
        <v>1998</v>
      </c>
      <c r="D733" s="130">
        <v>18.399999999999999</v>
      </c>
      <c r="E733" s="130">
        <v>1.2999989999999999</v>
      </c>
      <c r="F733" s="130">
        <v>32172.5</v>
      </c>
      <c r="G733" s="130">
        <v>5.0544699999999998E-2</v>
      </c>
      <c r="H733">
        <v>158121</v>
      </c>
      <c r="I733">
        <v>3.2534100000000003E-2</v>
      </c>
    </row>
    <row r="734" spans="1:9" x14ac:dyDescent="0.25">
      <c r="A734" t="s">
        <v>345</v>
      </c>
      <c r="B734" t="s">
        <v>179</v>
      </c>
      <c r="C734">
        <v>1999</v>
      </c>
      <c r="D734" s="130">
        <v>17.899999999999999</v>
      </c>
      <c r="E734" s="130">
        <v>-0.5</v>
      </c>
      <c r="F734" s="130">
        <v>33087.199999999997</v>
      </c>
      <c r="G734" s="130">
        <v>2.8033300000000001E-2</v>
      </c>
      <c r="H734">
        <v>162272</v>
      </c>
      <c r="I734">
        <v>2.90166E-2</v>
      </c>
    </row>
    <row r="735" spans="1:9" x14ac:dyDescent="0.25">
      <c r="A735" t="s">
        <v>345</v>
      </c>
      <c r="B735" t="s">
        <v>179</v>
      </c>
      <c r="C735">
        <v>2000</v>
      </c>
      <c r="D735" s="130">
        <v>17.399999999999999</v>
      </c>
      <c r="E735" s="130">
        <v>-0.5</v>
      </c>
      <c r="F735" s="130">
        <v>34048.699999999997</v>
      </c>
      <c r="G735" s="130">
        <v>2.8645500000000001E-2</v>
      </c>
      <c r="H735">
        <v>165913</v>
      </c>
      <c r="I735">
        <v>2.5454299999999999E-2</v>
      </c>
    </row>
    <row r="736" spans="1:9" x14ac:dyDescent="0.25">
      <c r="A736" t="s">
        <v>345</v>
      </c>
      <c r="B736" t="s">
        <v>179</v>
      </c>
      <c r="C736">
        <v>2001</v>
      </c>
      <c r="D736" s="130">
        <v>16.799999</v>
      </c>
      <c r="E736" s="130">
        <v>-0.60000039999999999</v>
      </c>
      <c r="F736" s="130">
        <v>34916.699999999997</v>
      </c>
      <c r="G736" s="130">
        <v>2.51732E-2</v>
      </c>
      <c r="H736">
        <v>168452</v>
      </c>
      <c r="I736">
        <v>1.7748099999999999E-2</v>
      </c>
    </row>
    <row r="737" spans="1:9" x14ac:dyDescent="0.25">
      <c r="A737" t="s">
        <v>345</v>
      </c>
      <c r="B737" t="s">
        <v>179</v>
      </c>
      <c r="C737">
        <v>2002</v>
      </c>
      <c r="D737" s="130">
        <v>16.899999999999999</v>
      </c>
      <c r="E737" s="130">
        <v>0.1000004</v>
      </c>
      <c r="F737" s="130">
        <v>34654.5</v>
      </c>
      <c r="G737" s="130">
        <v>-7.5369E-3</v>
      </c>
      <c r="H737">
        <v>168498</v>
      </c>
      <c r="I737">
        <v>3.19E-4</v>
      </c>
    </row>
    <row r="738" spans="1:9" x14ac:dyDescent="0.25">
      <c r="A738" t="s">
        <v>345</v>
      </c>
      <c r="B738" t="s">
        <v>179</v>
      </c>
      <c r="C738">
        <v>2003</v>
      </c>
      <c r="D738" s="130">
        <v>13.1</v>
      </c>
      <c r="E738" s="130">
        <v>-3.7999990000000001</v>
      </c>
      <c r="F738" s="130">
        <v>35253.199999999997</v>
      </c>
      <c r="G738" s="130">
        <v>1.7127E-2</v>
      </c>
      <c r="H738">
        <v>169974</v>
      </c>
      <c r="I738">
        <v>1.03167E-2</v>
      </c>
    </row>
    <row r="739" spans="1:9" x14ac:dyDescent="0.25">
      <c r="A739" t="s">
        <v>345</v>
      </c>
      <c r="B739" t="s">
        <v>179</v>
      </c>
      <c r="C739">
        <v>2004</v>
      </c>
      <c r="D739" s="130">
        <v>13.2</v>
      </c>
      <c r="E739" s="130">
        <v>9.9999400000000002E-2</v>
      </c>
      <c r="F739" s="130">
        <v>37683.199999999997</v>
      </c>
      <c r="G739" s="130">
        <v>6.6660899999999995E-2</v>
      </c>
      <c r="H739">
        <v>168837</v>
      </c>
      <c r="I739">
        <v>-7.9495E-3</v>
      </c>
    </row>
    <row r="740" spans="1:9" x14ac:dyDescent="0.25">
      <c r="A740" t="s">
        <v>345</v>
      </c>
      <c r="B740" t="s">
        <v>179</v>
      </c>
      <c r="C740">
        <v>2005</v>
      </c>
      <c r="D740" s="130">
        <v>14</v>
      </c>
      <c r="E740" s="130">
        <v>0.80000020000000005</v>
      </c>
      <c r="F740" s="130">
        <v>39773.199999999997</v>
      </c>
      <c r="G740" s="130">
        <v>5.3976099999999999E-2</v>
      </c>
      <c r="H740">
        <v>174629</v>
      </c>
      <c r="I740">
        <v>4.0490199999999997E-2</v>
      </c>
    </row>
    <row r="741" spans="1:9" x14ac:dyDescent="0.25">
      <c r="A741" t="s">
        <v>345</v>
      </c>
      <c r="B741" t="s">
        <v>179</v>
      </c>
      <c r="C741">
        <v>2006</v>
      </c>
      <c r="D741" s="130">
        <v>14.5</v>
      </c>
      <c r="E741" s="130">
        <v>0.5</v>
      </c>
      <c r="F741" s="130">
        <v>40679.800000000003</v>
      </c>
      <c r="G741" s="130">
        <v>2.2540999999999999E-2</v>
      </c>
      <c r="H741">
        <v>181743</v>
      </c>
      <c r="I741">
        <v>4.9727899999999998E-2</v>
      </c>
    </row>
    <row r="742" spans="1:9" x14ac:dyDescent="0.25">
      <c r="A742" t="s">
        <v>345</v>
      </c>
      <c r="B742" t="s">
        <v>179</v>
      </c>
      <c r="C742">
        <v>2007</v>
      </c>
      <c r="D742" s="130">
        <v>13.6</v>
      </c>
      <c r="E742" s="130">
        <v>-0.89999960000000001</v>
      </c>
      <c r="F742" s="130">
        <v>42037.4</v>
      </c>
      <c r="G742" s="130">
        <v>3.2826399999999999E-2</v>
      </c>
      <c r="H742">
        <v>187010</v>
      </c>
      <c r="I742">
        <v>3.6811200000000002E-2</v>
      </c>
    </row>
    <row r="743" spans="1:9" x14ac:dyDescent="0.25">
      <c r="A743" t="s">
        <v>345</v>
      </c>
      <c r="B743" t="s">
        <v>179</v>
      </c>
      <c r="C743">
        <v>2008</v>
      </c>
      <c r="D743" s="130">
        <v>12.5</v>
      </c>
      <c r="E743" s="130">
        <v>-1.1000000000000001</v>
      </c>
      <c r="F743" s="130">
        <v>41753.1</v>
      </c>
      <c r="G743" s="130">
        <v>-6.7853999999999996E-3</v>
      </c>
      <c r="H743">
        <v>189358</v>
      </c>
      <c r="I743">
        <v>1.6417299999999999E-2</v>
      </c>
    </row>
    <row r="744" spans="1:9" x14ac:dyDescent="0.25">
      <c r="A744" t="s">
        <v>345</v>
      </c>
      <c r="B744" t="s">
        <v>179</v>
      </c>
      <c r="C744">
        <v>2009</v>
      </c>
      <c r="D744" s="130">
        <v>11.8</v>
      </c>
      <c r="E744" s="130">
        <v>-0.69999979999999995</v>
      </c>
      <c r="F744" s="130">
        <v>38880.5</v>
      </c>
      <c r="G744" s="130">
        <v>-7.1282399999999996E-2</v>
      </c>
      <c r="H744">
        <v>186491</v>
      </c>
      <c r="I744">
        <v>-2.00403E-2</v>
      </c>
    </row>
    <row r="745" spans="1:9" x14ac:dyDescent="0.25">
      <c r="A745" t="s">
        <v>345</v>
      </c>
      <c r="B745" t="s">
        <v>179</v>
      </c>
      <c r="C745">
        <v>2010</v>
      </c>
      <c r="D745" s="130">
        <v>12.4</v>
      </c>
      <c r="E745" s="130">
        <v>0.59999939999999996</v>
      </c>
      <c r="F745" s="130">
        <v>37340.5</v>
      </c>
      <c r="G745" s="130">
        <v>-4.0411900000000001E-2</v>
      </c>
      <c r="H745">
        <v>187373</v>
      </c>
      <c r="I745">
        <v>6.1612000000000004E-3</v>
      </c>
    </row>
    <row r="746" spans="1:9" x14ac:dyDescent="0.25">
      <c r="A746" t="s">
        <v>345</v>
      </c>
      <c r="B746" t="s">
        <v>179</v>
      </c>
      <c r="C746">
        <v>2011</v>
      </c>
      <c r="D746" s="130">
        <v>12.3</v>
      </c>
      <c r="E746" s="130">
        <v>-9.9999400000000002E-2</v>
      </c>
      <c r="F746" s="130">
        <v>38224.199999999997</v>
      </c>
      <c r="G746" s="130">
        <v>2.33879E-2</v>
      </c>
      <c r="H746">
        <v>186475</v>
      </c>
      <c r="I746">
        <v>-6.2759000000000001E-3</v>
      </c>
    </row>
    <row r="747" spans="1:9" x14ac:dyDescent="0.25">
      <c r="A747" t="s">
        <v>345</v>
      </c>
      <c r="B747" t="s">
        <v>179</v>
      </c>
      <c r="C747">
        <v>2012</v>
      </c>
      <c r="D747" s="130">
        <v>12.1</v>
      </c>
      <c r="E747" s="130">
        <v>-0.19999980000000001</v>
      </c>
      <c r="F747" s="130">
        <v>38553.300000000003</v>
      </c>
      <c r="G747" s="130">
        <v>8.5734999999999995E-3</v>
      </c>
      <c r="H747">
        <v>188184</v>
      </c>
      <c r="I747">
        <v>1.19483E-2</v>
      </c>
    </row>
    <row r="748" spans="1:9" x14ac:dyDescent="0.25">
      <c r="A748" t="s">
        <v>345</v>
      </c>
      <c r="B748" t="s">
        <v>179</v>
      </c>
      <c r="C748">
        <v>2013</v>
      </c>
    </row>
    <row r="749" spans="1:9" x14ac:dyDescent="0.25">
      <c r="A749" t="s">
        <v>351</v>
      </c>
      <c r="B749" t="s">
        <v>153</v>
      </c>
      <c r="C749">
        <v>1995</v>
      </c>
      <c r="D749" s="130">
        <v>15.4</v>
      </c>
      <c r="F749" s="130">
        <v>22537.1</v>
      </c>
      <c r="H749" s="16">
        <v>2100000</v>
      </c>
    </row>
    <row r="750" spans="1:9" x14ac:dyDescent="0.25">
      <c r="A750" t="s">
        <v>351</v>
      </c>
      <c r="B750" t="s">
        <v>153</v>
      </c>
      <c r="C750">
        <v>1996</v>
      </c>
      <c r="D750" s="130">
        <v>15.8</v>
      </c>
      <c r="E750" s="130">
        <v>0.40000059999999998</v>
      </c>
      <c r="F750" s="130">
        <v>23160.400000000001</v>
      </c>
      <c r="G750" s="130">
        <v>2.7280800000000001E-2</v>
      </c>
      <c r="H750" s="16">
        <v>2200000</v>
      </c>
      <c r="I750">
        <v>2.1128299999999999E-2</v>
      </c>
    </row>
    <row r="751" spans="1:9" x14ac:dyDescent="0.25">
      <c r="A751" t="s">
        <v>351</v>
      </c>
      <c r="B751" t="s">
        <v>153</v>
      </c>
      <c r="C751">
        <v>1997</v>
      </c>
      <c r="D751" s="130">
        <v>15.3</v>
      </c>
      <c r="E751" s="130">
        <v>-0.5</v>
      </c>
      <c r="F751" s="130">
        <v>23350.6</v>
      </c>
      <c r="G751" s="130">
        <v>8.1758000000000004E-3</v>
      </c>
      <c r="H751" s="16">
        <v>2200000</v>
      </c>
      <c r="I751">
        <v>2.3296999999999998E-2</v>
      </c>
    </row>
    <row r="752" spans="1:9" x14ac:dyDescent="0.25">
      <c r="A752" t="s">
        <v>351</v>
      </c>
      <c r="B752" t="s">
        <v>153</v>
      </c>
      <c r="C752">
        <v>1998</v>
      </c>
      <c r="D752" s="130">
        <v>15</v>
      </c>
      <c r="E752" s="130">
        <v>-0.30000019999999999</v>
      </c>
      <c r="F752" s="130">
        <v>23762.3</v>
      </c>
      <c r="G752" s="130">
        <v>1.74799E-2</v>
      </c>
      <c r="H752" s="16">
        <v>2300000</v>
      </c>
      <c r="I752">
        <v>2.8809000000000001E-2</v>
      </c>
    </row>
    <row r="753" spans="1:9" x14ac:dyDescent="0.25">
      <c r="A753" t="s">
        <v>351</v>
      </c>
      <c r="B753" t="s">
        <v>153</v>
      </c>
      <c r="C753">
        <v>1999</v>
      </c>
      <c r="D753" s="130">
        <v>15.1</v>
      </c>
      <c r="E753" s="130">
        <v>0.1000004</v>
      </c>
      <c r="F753" s="130">
        <v>23942.2</v>
      </c>
      <c r="G753" s="130">
        <v>7.5436000000000001E-3</v>
      </c>
      <c r="H753" s="16">
        <v>2400000</v>
      </c>
      <c r="I753">
        <v>4.0085900000000001E-2</v>
      </c>
    </row>
    <row r="754" spans="1:9" x14ac:dyDescent="0.25">
      <c r="A754" t="s">
        <v>351</v>
      </c>
      <c r="B754" t="s">
        <v>153</v>
      </c>
      <c r="C754">
        <v>2000</v>
      </c>
      <c r="D754" s="130">
        <v>14.2</v>
      </c>
      <c r="E754" s="130">
        <v>-0.90000060000000004</v>
      </c>
      <c r="F754" s="130">
        <v>25475.9</v>
      </c>
      <c r="G754" s="130">
        <v>6.2089900000000003E-2</v>
      </c>
      <c r="H754" s="16">
        <v>2500000</v>
      </c>
      <c r="I754">
        <v>3.9921499999999999E-2</v>
      </c>
    </row>
    <row r="755" spans="1:9" x14ac:dyDescent="0.25">
      <c r="A755" t="s">
        <v>351</v>
      </c>
      <c r="B755" t="s">
        <v>153</v>
      </c>
      <c r="C755">
        <v>2001</v>
      </c>
      <c r="D755" s="130">
        <v>13.5</v>
      </c>
      <c r="E755" s="130">
        <v>-0.69999979999999995</v>
      </c>
      <c r="F755" s="130">
        <v>24826.9</v>
      </c>
      <c r="G755" s="130">
        <v>-2.5807400000000001E-2</v>
      </c>
      <c r="H755" s="16">
        <v>2500000</v>
      </c>
      <c r="I755">
        <v>3.0700999999999999E-2</v>
      </c>
    </row>
    <row r="756" spans="1:9" x14ac:dyDescent="0.25">
      <c r="A756" t="s">
        <v>351</v>
      </c>
      <c r="B756" t="s">
        <v>153</v>
      </c>
      <c r="C756">
        <v>2002</v>
      </c>
      <c r="D756" s="130">
        <v>13.5</v>
      </c>
      <c r="E756" s="130">
        <v>0</v>
      </c>
      <c r="F756" s="130">
        <v>24191.8</v>
      </c>
      <c r="G756" s="130">
        <v>-2.5912299999999999E-2</v>
      </c>
      <c r="H756" s="16">
        <v>2600000</v>
      </c>
      <c r="I756">
        <v>2.0084600000000001E-2</v>
      </c>
    </row>
    <row r="757" spans="1:9" x14ac:dyDescent="0.25">
      <c r="A757" t="s">
        <v>351</v>
      </c>
      <c r="B757" t="s">
        <v>153</v>
      </c>
      <c r="C757">
        <v>2003</v>
      </c>
      <c r="D757" s="130">
        <v>13.8</v>
      </c>
      <c r="E757" s="130">
        <v>0.30000019999999999</v>
      </c>
      <c r="F757" s="130">
        <v>24118.2</v>
      </c>
      <c r="G757" s="130">
        <v>-3.0469999999999998E-3</v>
      </c>
      <c r="H757" s="16">
        <v>2600000</v>
      </c>
      <c r="I757">
        <v>2.9042800000000001E-2</v>
      </c>
    </row>
    <row r="758" spans="1:9" x14ac:dyDescent="0.25">
      <c r="A758" t="s">
        <v>351</v>
      </c>
      <c r="B758" t="s">
        <v>153</v>
      </c>
      <c r="C758">
        <v>2004</v>
      </c>
      <c r="D758" s="130">
        <v>13.2</v>
      </c>
      <c r="E758" s="130">
        <v>-0.60000039999999999</v>
      </c>
      <c r="F758" s="130">
        <v>24843.599999999999</v>
      </c>
      <c r="G758" s="130">
        <v>2.9630699999999999E-2</v>
      </c>
      <c r="H758" s="16">
        <v>2700000</v>
      </c>
      <c r="I758">
        <v>3.6570699999999998E-2</v>
      </c>
    </row>
    <row r="759" spans="1:9" x14ac:dyDescent="0.25">
      <c r="A759" t="s">
        <v>351</v>
      </c>
      <c r="B759" t="s">
        <v>153</v>
      </c>
      <c r="C759">
        <v>2005</v>
      </c>
      <c r="D759" s="130">
        <v>13.1</v>
      </c>
      <c r="E759" s="130">
        <v>-9.9999400000000002E-2</v>
      </c>
      <c r="F759" s="130">
        <v>25615.4</v>
      </c>
      <c r="G759" s="130">
        <v>3.05939E-2</v>
      </c>
      <c r="H759" s="16">
        <v>2800000</v>
      </c>
      <c r="I759">
        <v>3.1141800000000001E-2</v>
      </c>
    </row>
    <row r="760" spans="1:9" x14ac:dyDescent="0.25">
      <c r="A760" t="s">
        <v>351</v>
      </c>
      <c r="B760" t="s">
        <v>153</v>
      </c>
      <c r="C760">
        <v>2006</v>
      </c>
      <c r="D760" s="130">
        <v>13.1</v>
      </c>
      <c r="E760" s="130">
        <v>0</v>
      </c>
      <c r="F760" s="130">
        <v>26574.400000000001</v>
      </c>
      <c r="G760" s="130">
        <v>3.6755599999999999E-2</v>
      </c>
      <c r="H760" s="16">
        <v>2800000</v>
      </c>
      <c r="I760">
        <v>3.5390400000000002E-2</v>
      </c>
    </row>
    <row r="761" spans="1:9" x14ac:dyDescent="0.25">
      <c r="A761" t="s">
        <v>351</v>
      </c>
      <c r="B761" t="s">
        <v>153</v>
      </c>
      <c r="C761">
        <v>2007</v>
      </c>
      <c r="D761" s="130">
        <v>12.7</v>
      </c>
      <c r="E761" s="130">
        <v>-0.40000059999999998</v>
      </c>
      <c r="F761" s="130">
        <v>27913.4</v>
      </c>
      <c r="G761" s="130">
        <v>4.9161000000000003E-2</v>
      </c>
      <c r="H761" s="16">
        <v>2900000</v>
      </c>
      <c r="I761">
        <v>4.4512400000000001E-2</v>
      </c>
    </row>
    <row r="762" spans="1:9" x14ac:dyDescent="0.25">
      <c r="A762" t="s">
        <v>351</v>
      </c>
      <c r="B762" t="s">
        <v>153</v>
      </c>
      <c r="C762">
        <v>2008</v>
      </c>
      <c r="D762" s="130">
        <v>12.7</v>
      </c>
      <c r="E762" s="130">
        <v>0</v>
      </c>
      <c r="F762" s="130">
        <v>28643.200000000001</v>
      </c>
      <c r="G762" s="130">
        <v>2.58064E-2</v>
      </c>
      <c r="H762" s="16">
        <v>3000000</v>
      </c>
      <c r="I762">
        <v>3.3145000000000001E-2</v>
      </c>
    </row>
    <row r="763" spans="1:9" x14ac:dyDescent="0.25">
      <c r="A763" t="s">
        <v>351</v>
      </c>
      <c r="B763" t="s">
        <v>153</v>
      </c>
      <c r="C763">
        <v>2009</v>
      </c>
      <c r="D763" s="130">
        <v>12.9</v>
      </c>
      <c r="E763" s="130">
        <v>0.19999980000000001</v>
      </c>
      <c r="F763" s="130">
        <v>28315.7</v>
      </c>
      <c r="G763" s="130">
        <v>-1.1500399999999999E-2</v>
      </c>
      <c r="H763" s="16">
        <v>3100000</v>
      </c>
      <c r="I763">
        <v>4.4052599999999997E-2</v>
      </c>
    </row>
    <row r="764" spans="1:9" x14ac:dyDescent="0.25">
      <c r="A764" t="s">
        <v>351</v>
      </c>
      <c r="B764" t="s">
        <v>153</v>
      </c>
      <c r="C764">
        <v>2010</v>
      </c>
      <c r="D764" s="130">
        <v>12.8</v>
      </c>
      <c r="E764" s="130">
        <v>-9.9999400000000002E-2</v>
      </c>
      <c r="F764" s="130">
        <v>29378</v>
      </c>
      <c r="G764" s="130">
        <v>3.68309E-2</v>
      </c>
      <c r="H764" s="16">
        <v>3200000</v>
      </c>
      <c r="I764">
        <v>3.7484999999999997E-2</v>
      </c>
    </row>
    <row r="765" spans="1:9" x14ac:dyDescent="0.25">
      <c r="A765" t="s">
        <v>351</v>
      </c>
      <c r="B765" t="s">
        <v>153</v>
      </c>
      <c r="C765">
        <v>2011</v>
      </c>
      <c r="D765" s="130">
        <v>12.6</v>
      </c>
      <c r="E765" s="130">
        <v>-0.19999980000000001</v>
      </c>
      <c r="F765" s="130">
        <v>30159</v>
      </c>
      <c r="G765" s="130">
        <v>2.62394E-2</v>
      </c>
      <c r="H765" s="16">
        <v>3200000</v>
      </c>
      <c r="I765">
        <v>2.83904E-2</v>
      </c>
    </row>
    <row r="766" spans="1:9" x14ac:dyDescent="0.25">
      <c r="A766" t="s">
        <v>351</v>
      </c>
      <c r="B766" t="s">
        <v>153</v>
      </c>
      <c r="C766">
        <v>2012</v>
      </c>
      <c r="F766" s="130">
        <v>30599.8</v>
      </c>
      <c r="G766" s="130">
        <v>1.4507300000000001E-2</v>
      </c>
      <c r="H766" s="16">
        <v>3700000</v>
      </c>
      <c r="I766">
        <v>0.19432459999999999</v>
      </c>
    </row>
    <row r="767" spans="1:9" x14ac:dyDescent="0.25">
      <c r="A767" t="s">
        <v>351</v>
      </c>
      <c r="B767" t="s">
        <v>153</v>
      </c>
      <c r="C767">
        <v>2013</v>
      </c>
    </row>
    <row r="768" spans="1:9" x14ac:dyDescent="0.25">
      <c r="A768" t="s">
        <v>352</v>
      </c>
      <c r="B768" t="s">
        <v>155</v>
      </c>
      <c r="C768">
        <v>1990</v>
      </c>
      <c r="D768" s="130">
        <v>28.299999</v>
      </c>
      <c r="F768" s="130">
        <v>29680.2</v>
      </c>
      <c r="H768" s="16">
        <v>24000000</v>
      </c>
    </row>
    <row r="769" spans="1:9" x14ac:dyDescent="0.25">
      <c r="A769" t="s">
        <v>352</v>
      </c>
      <c r="B769" t="s">
        <v>155</v>
      </c>
      <c r="C769">
        <v>1991</v>
      </c>
      <c r="D769" s="130">
        <v>28.4</v>
      </c>
      <c r="E769" s="130">
        <v>0.1000004</v>
      </c>
      <c r="F769" s="130">
        <v>30115.9</v>
      </c>
      <c r="G769" s="130">
        <v>1.4574999999999999E-2</v>
      </c>
      <c r="H769" s="16">
        <v>24000000</v>
      </c>
      <c r="I769">
        <v>7.7194000000000004E-3</v>
      </c>
    </row>
    <row r="770" spans="1:9" x14ac:dyDescent="0.25">
      <c r="A770" t="s">
        <v>352</v>
      </c>
      <c r="B770" t="s">
        <v>155</v>
      </c>
      <c r="C770">
        <v>1992</v>
      </c>
      <c r="D770" s="130">
        <v>28.9</v>
      </c>
      <c r="E770" s="130">
        <v>0.5</v>
      </c>
      <c r="F770" s="130">
        <v>30346.6</v>
      </c>
      <c r="G770" s="130">
        <v>7.6283999999999996E-3</v>
      </c>
      <c r="H770" s="16">
        <v>23000000</v>
      </c>
      <c r="I770">
        <v>-3.13219E-2</v>
      </c>
    </row>
    <row r="771" spans="1:9" x14ac:dyDescent="0.25">
      <c r="A771" t="s">
        <v>352</v>
      </c>
      <c r="B771" t="s">
        <v>155</v>
      </c>
      <c r="C771">
        <v>1993</v>
      </c>
      <c r="D771" s="130">
        <v>28.5</v>
      </c>
      <c r="E771" s="130">
        <v>-0.39999960000000001</v>
      </c>
      <c r="F771" s="130">
        <v>30069.4</v>
      </c>
      <c r="G771" s="130">
        <v>-9.1763000000000001E-3</v>
      </c>
      <c r="H771" s="16">
        <v>23000000</v>
      </c>
      <c r="I771">
        <v>-4.0959999999999998E-3</v>
      </c>
    </row>
    <row r="772" spans="1:9" x14ac:dyDescent="0.25">
      <c r="A772" t="s">
        <v>352</v>
      </c>
      <c r="B772" t="s">
        <v>155</v>
      </c>
      <c r="C772">
        <v>1994</v>
      </c>
      <c r="D772" s="130">
        <v>28.6</v>
      </c>
      <c r="E772" s="130">
        <v>0.1000004</v>
      </c>
      <c r="F772" s="130">
        <v>30709.9</v>
      </c>
      <c r="G772" s="130">
        <v>2.10791E-2</v>
      </c>
      <c r="H772" s="16">
        <v>23000000</v>
      </c>
      <c r="I772">
        <v>-9.1304999999999997E-3</v>
      </c>
    </row>
    <row r="773" spans="1:9" x14ac:dyDescent="0.25">
      <c r="A773" t="s">
        <v>352</v>
      </c>
      <c r="B773" t="s">
        <v>155</v>
      </c>
      <c r="C773">
        <v>1995</v>
      </c>
      <c r="D773" s="130">
        <v>29.1</v>
      </c>
      <c r="E773" s="130">
        <v>0.5</v>
      </c>
      <c r="F773" s="130">
        <v>31596</v>
      </c>
      <c r="G773" s="130">
        <v>2.8443300000000001E-2</v>
      </c>
      <c r="H773" s="16">
        <v>23000000</v>
      </c>
      <c r="I773">
        <v>-5.7082000000000001E-3</v>
      </c>
    </row>
    <row r="774" spans="1:9" x14ac:dyDescent="0.25">
      <c r="A774" t="s">
        <v>352</v>
      </c>
      <c r="B774" t="s">
        <v>155</v>
      </c>
      <c r="C774">
        <v>1996</v>
      </c>
      <c r="D774" s="130">
        <v>29.1</v>
      </c>
      <c r="E774" s="130">
        <v>0</v>
      </c>
      <c r="F774" s="130">
        <v>31945.5</v>
      </c>
      <c r="G774" s="130">
        <v>1.10016E-2</v>
      </c>
      <c r="H774" s="16">
        <v>23000000</v>
      </c>
      <c r="I774">
        <v>4.3248000000000002E-3</v>
      </c>
    </row>
    <row r="775" spans="1:9" x14ac:dyDescent="0.25">
      <c r="A775" t="s">
        <v>352</v>
      </c>
      <c r="B775" t="s">
        <v>155</v>
      </c>
      <c r="C775">
        <v>1997</v>
      </c>
      <c r="D775" s="130">
        <v>28.799999</v>
      </c>
      <c r="E775" s="130">
        <v>-0.30000110000000002</v>
      </c>
      <c r="F775" s="130">
        <v>32524.400000000001</v>
      </c>
      <c r="G775" s="130">
        <v>1.7959599999999999E-2</v>
      </c>
      <c r="H775" s="16">
        <v>23000000</v>
      </c>
      <c r="I775">
        <v>2.1529000000000001E-3</v>
      </c>
    </row>
    <row r="776" spans="1:9" x14ac:dyDescent="0.25">
      <c r="A776" t="s">
        <v>352</v>
      </c>
      <c r="B776" t="s">
        <v>155</v>
      </c>
      <c r="C776">
        <v>1998</v>
      </c>
      <c r="D776" s="130">
        <v>28.700001</v>
      </c>
      <c r="E776" s="130">
        <v>-9.9998500000000004E-2</v>
      </c>
      <c r="F776" s="130">
        <v>32985.9</v>
      </c>
      <c r="G776" s="130">
        <v>1.4089600000000001E-2</v>
      </c>
      <c r="H776" s="16">
        <v>23000000</v>
      </c>
      <c r="I776">
        <v>5.7004000000000004E-3</v>
      </c>
    </row>
    <row r="777" spans="1:9" x14ac:dyDescent="0.25">
      <c r="A777" t="s">
        <v>352</v>
      </c>
      <c r="B777" t="s">
        <v>155</v>
      </c>
      <c r="C777">
        <v>1999</v>
      </c>
      <c r="D777" s="130">
        <v>28.299999</v>
      </c>
      <c r="E777" s="130">
        <v>-0.40000150000000001</v>
      </c>
      <c r="F777" s="130">
        <v>33458.9</v>
      </c>
      <c r="G777" s="130">
        <v>1.42384E-2</v>
      </c>
      <c r="H777" s="16">
        <v>23000000</v>
      </c>
      <c r="I777">
        <v>7.4047000000000002E-3</v>
      </c>
    </row>
    <row r="778" spans="1:9" x14ac:dyDescent="0.25">
      <c r="A778" t="s">
        <v>352</v>
      </c>
      <c r="B778" t="s">
        <v>155</v>
      </c>
      <c r="C778">
        <v>2000</v>
      </c>
      <c r="D778" s="130">
        <v>28.200001</v>
      </c>
      <c r="E778" s="130">
        <v>-9.9998500000000004E-2</v>
      </c>
      <c r="F778" s="130">
        <v>34665.699999999997</v>
      </c>
      <c r="G778" s="130">
        <v>3.5431900000000002E-2</v>
      </c>
      <c r="H778" s="16">
        <v>23000000</v>
      </c>
      <c r="I778">
        <v>1.3625E-3</v>
      </c>
    </row>
    <row r="779" spans="1:9" x14ac:dyDescent="0.25">
      <c r="A779" t="s">
        <v>352</v>
      </c>
      <c r="B779" t="s">
        <v>155</v>
      </c>
      <c r="C779">
        <v>2001</v>
      </c>
      <c r="D779" s="130">
        <v>27.9</v>
      </c>
      <c r="E779" s="130">
        <v>-0.30000110000000002</v>
      </c>
      <c r="F779" s="130">
        <v>35289.599999999999</v>
      </c>
      <c r="G779" s="130">
        <v>1.78385E-2</v>
      </c>
      <c r="H779" s="16">
        <v>23000000</v>
      </c>
      <c r="I779">
        <v>5.4838999999999999E-3</v>
      </c>
    </row>
    <row r="780" spans="1:9" x14ac:dyDescent="0.25">
      <c r="A780" t="s">
        <v>352</v>
      </c>
      <c r="B780" t="s">
        <v>155</v>
      </c>
      <c r="C780">
        <v>2002</v>
      </c>
      <c r="D780" s="130">
        <v>27.4</v>
      </c>
      <c r="E780" s="130">
        <v>-0.5</v>
      </c>
      <c r="F780" s="130">
        <v>35337.199999999997</v>
      </c>
      <c r="G780" s="130">
        <v>1.3466000000000001E-3</v>
      </c>
      <c r="H780" s="16">
        <v>24000000</v>
      </c>
      <c r="I780">
        <v>1.4068000000000001E-2</v>
      </c>
    </row>
    <row r="781" spans="1:9" x14ac:dyDescent="0.25">
      <c r="A781" t="s">
        <v>352</v>
      </c>
      <c r="B781" t="s">
        <v>155</v>
      </c>
      <c r="C781">
        <v>2003</v>
      </c>
      <c r="D781" s="130">
        <v>27.299999</v>
      </c>
      <c r="E781" s="130">
        <v>-0.1000004</v>
      </c>
      <c r="F781" s="130">
        <v>35046.5</v>
      </c>
      <c r="G781" s="130">
        <v>-8.2606999999999993E-3</v>
      </c>
      <c r="H781" s="16">
        <v>24000000</v>
      </c>
      <c r="I781">
        <v>1.6662900000000001E-2</v>
      </c>
    </row>
    <row r="782" spans="1:9" x14ac:dyDescent="0.25">
      <c r="A782" t="s">
        <v>352</v>
      </c>
      <c r="B782" t="s">
        <v>155</v>
      </c>
      <c r="C782">
        <v>2004</v>
      </c>
      <c r="D782" s="130">
        <v>28.1</v>
      </c>
      <c r="E782" s="130">
        <v>0.80000110000000002</v>
      </c>
      <c r="F782" s="130">
        <v>35303.300000000003</v>
      </c>
      <c r="G782" s="130">
        <v>7.3013000000000002E-3</v>
      </c>
      <c r="H782" s="16">
        <v>25000000</v>
      </c>
      <c r="I782">
        <v>2.5182800000000002E-2</v>
      </c>
    </row>
    <row r="783" spans="1:9" x14ac:dyDescent="0.25">
      <c r="A783" t="s">
        <v>352</v>
      </c>
      <c r="B783" t="s">
        <v>155</v>
      </c>
      <c r="C783">
        <v>2005</v>
      </c>
      <c r="D783" s="130">
        <v>26.700001</v>
      </c>
      <c r="E783" s="130">
        <v>-1.4</v>
      </c>
      <c r="F783" s="130">
        <v>35369.599999999999</v>
      </c>
      <c r="G783" s="130">
        <v>1.8759E-3</v>
      </c>
      <c r="H783" s="16">
        <v>25000000</v>
      </c>
      <c r="I783">
        <v>-2.5446000000000002E-3</v>
      </c>
    </row>
    <row r="784" spans="1:9" x14ac:dyDescent="0.25">
      <c r="A784" t="s">
        <v>352</v>
      </c>
      <c r="B784" t="s">
        <v>155</v>
      </c>
      <c r="C784">
        <v>2006</v>
      </c>
      <c r="D784" s="130">
        <v>26.4</v>
      </c>
      <c r="E784" s="130">
        <v>-0.30000110000000002</v>
      </c>
      <c r="F784" s="130">
        <v>35942.199999999997</v>
      </c>
      <c r="G784" s="130">
        <v>1.6059899999999998E-2</v>
      </c>
      <c r="H784" s="16">
        <v>25000000</v>
      </c>
      <c r="I784">
        <v>6.1529999999999996E-3</v>
      </c>
    </row>
    <row r="785" spans="1:9" x14ac:dyDescent="0.25">
      <c r="A785" t="s">
        <v>352</v>
      </c>
      <c r="B785" t="s">
        <v>155</v>
      </c>
      <c r="C785">
        <v>2007</v>
      </c>
      <c r="D785" s="130">
        <v>26.1</v>
      </c>
      <c r="E785" s="130">
        <v>-0.29999920000000002</v>
      </c>
      <c r="F785" s="130">
        <v>36280.1</v>
      </c>
      <c r="G785" s="130">
        <v>9.3583999999999994E-3</v>
      </c>
      <c r="H785" s="16">
        <v>25000000</v>
      </c>
      <c r="I785">
        <v>3.5607999999999998E-3</v>
      </c>
    </row>
    <row r="786" spans="1:9" x14ac:dyDescent="0.25">
      <c r="A786" t="s">
        <v>352</v>
      </c>
      <c r="B786" t="s">
        <v>155</v>
      </c>
      <c r="C786">
        <v>2008</v>
      </c>
      <c r="D786" s="130">
        <v>25.5</v>
      </c>
      <c r="E786" s="130">
        <v>-0.60000039999999999</v>
      </c>
      <c r="F786" s="130">
        <v>35586.800000000003</v>
      </c>
      <c r="G786" s="130">
        <v>-1.9295699999999999E-2</v>
      </c>
      <c r="H786" s="16">
        <v>25000000</v>
      </c>
      <c r="I786">
        <v>1.4662100000000001E-2</v>
      </c>
    </row>
    <row r="787" spans="1:9" x14ac:dyDescent="0.25">
      <c r="A787" t="s">
        <v>352</v>
      </c>
      <c r="B787" t="s">
        <v>155</v>
      </c>
      <c r="C787">
        <v>2009</v>
      </c>
      <c r="D787" s="130">
        <v>25</v>
      </c>
      <c r="E787" s="130">
        <v>-0.5</v>
      </c>
      <c r="F787" s="130">
        <v>33430.1</v>
      </c>
      <c r="G787" s="130">
        <v>-6.2518099999999993E-2</v>
      </c>
      <c r="H787" s="16">
        <v>25000000</v>
      </c>
      <c r="I787">
        <v>-6.5851E-3</v>
      </c>
    </row>
    <row r="788" spans="1:9" x14ac:dyDescent="0.25">
      <c r="A788" t="s">
        <v>352</v>
      </c>
      <c r="B788" t="s">
        <v>155</v>
      </c>
      <c r="C788">
        <v>2010</v>
      </c>
      <c r="D788" s="130">
        <v>25.200001</v>
      </c>
      <c r="E788" s="130">
        <v>0.20000080000000001</v>
      </c>
      <c r="F788" s="130">
        <v>33842.699999999997</v>
      </c>
      <c r="G788" s="130">
        <v>1.2268100000000001E-2</v>
      </c>
      <c r="H788" s="16">
        <v>25000000</v>
      </c>
      <c r="I788">
        <v>-1.4344E-3</v>
      </c>
    </row>
    <row r="789" spans="1:9" x14ac:dyDescent="0.25">
      <c r="A789" t="s">
        <v>352</v>
      </c>
      <c r="B789" t="s">
        <v>155</v>
      </c>
      <c r="C789">
        <v>2011</v>
      </c>
      <c r="D789" s="130">
        <v>24.9</v>
      </c>
      <c r="E789" s="130">
        <v>-0.30000110000000002</v>
      </c>
      <c r="F789" s="130">
        <v>33869.699999999997</v>
      </c>
      <c r="G789" s="130">
        <v>7.963E-4</v>
      </c>
      <c r="H789" s="16">
        <v>25000000</v>
      </c>
      <c r="I789">
        <v>1.9821000000000001E-3</v>
      </c>
    </row>
    <row r="790" spans="1:9" x14ac:dyDescent="0.25">
      <c r="A790" t="s">
        <v>352</v>
      </c>
      <c r="B790" t="s">
        <v>155</v>
      </c>
      <c r="C790">
        <v>2012</v>
      </c>
      <c r="D790" s="130">
        <v>24.799999</v>
      </c>
      <c r="E790" s="130">
        <v>-0.1000004</v>
      </c>
      <c r="F790" s="130">
        <v>33668.199999999997</v>
      </c>
      <c r="G790" s="130">
        <v>-5.9680999999999996E-3</v>
      </c>
      <c r="H790" s="16">
        <v>25000000</v>
      </c>
      <c r="I790">
        <v>-1.2373E-3</v>
      </c>
    </row>
    <row r="791" spans="1:9" x14ac:dyDescent="0.25">
      <c r="A791" t="s">
        <v>352</v>
      </c>
      <c r="B791" t="s">
        <v>155</v>
      </c>
      <c r="C791">
        <v>2013</v>
      </c>
    </row>
    <row r="792" spans="1:9" x14ac:dyDescent="0.25">
      <c r="A792" t="s">
        <v>353</v>
      </c>
      <c r="B792" t="s">
        <v>123</v>
      </c>
      <c r="C792">
        <v>1991</v>
      </c>
      <c r="D792" s="130">
        <v>43.400002000000001</v>
      </c>
      <c r="F792" s="130">
        <v>7696.91</v>
      </c>
      <c r="H792" s="16">
        <v>1200000</v>
      </c>
    </row>
    <row r="793" spans="1:9" x14ac:dyDescent="0.25">
      <c r="A793" t="s">
        <v>353</v>
      </c>
      <c r="B793" t="s">
        <v>123</v>
      </c>
      <c r="C793">
        <v>1992</v>
      </c>
      <c r="D793" s="130">
        <v>43.099997999999999</v>
      </c>
      <c r="E793" s="130">
        <v>-0.30000310000000002</v>
      </c>
      <c r="F793" s="130">
        <v>7792.37</v>
      </c>
      <c r="G793" s="130">
        <v>1.23243E-2</v>
      </c>
      <c r="H793" s="16">
        <v>1200000</v>
      </c>
      <c r="I793">
        <v>1.2360700000000001E-2</v>
      </c>
    </row>
    <row r="794" spans="1:9" x14ac:dyDescent="0.25">
      <c r="A794" t="s">
        <v>353</v>
      </c>
      <c r="B794" t="s">
        <v>123</v>
      </c>
      <c r="C794">
        <v>1993</v>
      </c>
      <c r="D794" s="130">
        <v>41.099997999999999</v>
      </c>
      <c r="E794" s="130">
        <v>-2</v>
      </c>
      <c r="F794" s="130">
        <v>8463.3799999999992</v>
      </c>
      <c r="G794" s="130">
        <v>8.2604399999999994E-2</v>
      </c>
      <c r="H794" s="16">
        <v>1200000</v>
      </c>
      <c r="I794">
        <v>1.23847E-2</v>
      </c>
    </row>
    <row r="795" spans="1:9" x14ac:dyDescent="0.25">
      <c r="A795" t="s">
        <v>353</v>
      </c>
      <c r="B795" t="s">
        <v>123</v>
      </c>
      <c r="C795">
        <v>1994</v>
      </c>
      <c r="D795" s="130">
        <v>41</v>
      </c>
      <c r="E795" s="130">
        <v>-9.9998500000000004E-2</v>
      </c>
      <c r="F795" s="130">
        <v>8514.27</v>
      </c>
      <c r="G795" s="130">
        <v>5.9947999999999998E-3</v>
      </c>
      <c r="H795" s="16">
        <v>1200000</v>
      </c>
      <c r="I795">
        <v>1.1348499999999999E-2</v>
      </c>
    </row>
    <row r="796" spans="1:9" x14ac:dyDescent="0.25">
      <c r="A796" t="s">
        <v>353</v>
      </c>
      <c r="B796" t="s">
        <v>123</v>
      </c>
      <c r="C796">
        <v>1995</v>
      </c>
      <c r="D796" s="130">
        <v>39.799999</v>
      </c>
      <c r="E796" s="130">
        <v>-1.2000010000000001</v>
      </c>
      <c r="F796" s="130">
        <v>8644.08</v>
      </c>
      <c r="G796" s="130">
        <v>1.5131E-2</v>
      </c>
      <c r="H796" s="16">
        <v>1200000</v>
      </c>
      <c r="I796">
        <v>-2.1882E-3</v>
      </c>
    </row>
    <row r="797" spans="1:9" x14ac:dyDescent="0.25">
      <c r="A797" t="s">
        <v>353</v>
      </c>
      <c r="B797" t="s">
        <v>123</v>
      </c>
      <c r="C797">
        <v>1996</v>
      </c>
      <c r="D797" s="130">
        <v>39.900002000000001</v>
      </c>
      <c r="E797" s="130">
        <v>0.1000023</v>
      </c>
      <c r="F797" s="130">
        <v>8531.31</v>
      </c>
      <c r="G797" s="130">
        <v>-1.31311E-2</v>
      </c>
      <c r="H797" s="16">
        <v>1200000</v>
      </c>
      <c r="I797">
        <v>3.9720000000000001E-4</v>
      </c>
    </row>
    <row r="798" spans="1:9" x14ac:dyDescent="0.25">
      <c r="A798" t="s">
        <v>353</v>
      </c>
      <c r="B798" t="s">
        <v>123</v>
      </c>
      <c r="C798">
        <v>1997</v>
      </c>
      <c r="D798" s="130">
        <v>39.799999</v>
      </c>
      <c r="E798" s="130">
        <v>-0.1000023</v>
      </c>
      <c r="F798" s="130">
        <v>8353.65</v>
      </c>
      <c r="G798" s="130">
        <v>-2.10447E-2</v>
      </c>
      <c r="H798" s="16">
        <v>1200000</v>
      </c>
      <c r="I798">
        <v>-5.1000000000000004E-3</v>
      </c>
    </row>
    <row r="799" spans="1:9" x14ac:dyDescent="0.25">
      <c r="A799" t="s">
        <v>353</v>
      </c>
      <c r="B799" t="s">
        <v>123</v>
      </c>
      <c r="C799">
        <v>1998</v>
      </c>
      <c r="D799" s="130">
        <v>40.400002000000001</v>
      </c>
      <c r="E799" s="130">
        <v>0.60000229999999999</v>
      </c>
      <c r="F799" s="130">
        <v>8086.16</v>
      </c>
      <c r="G799" s="130">
        <v>-3.2544099999999999E-2</v>
      </c>
      <c r="H799" s="16">
        <v>1200000</v>
      </c>
      <c r="I799">
        <v>-5.9439999999999996E-3</v>
      </c>
    </row>
    <row r="800" spans="1:9" x14ac:dyDescent="0.25">
      <c r="A800" t="s">
        <v>353</v>
      </c>
      <c r="B800" t="s">
        <v>123</v>
      </c>
      <c r="C800">
        <v>1999</v>
      </c>
      <c r="D800" s="130">
        <v>40.599997999999999</v>
      </c>
      <c r="E800" s="130">
        <v>0.19999690000000001</v>
      </c>
      <c r="F800" s="130">
        <v>8115.3</v>
      </c>
      <c r="G800" s="130">
        <v>3.5972999999999999E-3</v>
      </c>
      <c r="H800" s="16">
        <v>1200000</v>
      </c>
      <c r="I800">
        <v>2.1155000000000002E-3</v>
      </c>
    </row>
    <row r="801" spans="1:9" x14ac:dyDescent="0.25">
      <c r="A801" t="s">
        <v>353</v>
      </c>
      <c r="B801" t="s">
        <v>123</v>
      </c>
      <c r="C801">
        <v>2000</v>
      </c>
      <c r="D801" s="130">
        <v>40.599997999999999</v>
      </c>
      <c r="E801" s="130">
        <v>0</v>
      </c>
      <c r="F801" s="130">
        <v>8138.87</v>
      </c>
      <c r="G801" s="130">
        <v>2.9001000000000001E-3</v>
      </c>
      <c r="H801" s="16">
        <v>1200000</v>
      </c>
      <c r="I801">
        <v>1.1249000000000001E-3</v>
      </c>
    </row>
    <row r="802" spans="1:9" x14ac:dyDescent="0.25">
      <c r="A802" t="s">
        <v>353</v>
      </c>
      <c r="B802" t="s">
        <v>123</v>
      </c>
      <c r="C802">
        <v>2001</v>
      </c>
      <c r="D802" s="130">
        <v>40.099997999999999</v>
      </c>
      <c r="E802" s="130">
        <v>-0.5</v>
      </c>
      <c r="F802" s="130">
        <v>8197.15</v>
      </c>
      <c r="G802" s="130">
        <v>7.1354000000000001E-3</v>
      </c>
      <c r="H802" s="16">
        <v>1200000</v>
      </c>
      <c r="I802">
        <v>1.5613000000000001E-3</v>
      </c>
    </row>
    <row r="803" spans="1:9" x14ac:dyDescent="0.25">
      <c r="A803" t="s">
        <v>353</v>
      </c>
      <c r="B803" t="s">
        <v>123</v>
      </c>
      <c r="C803">
        <v>2002</v>
      </c>
      <c r="D803" s="130">
        <v>38.299999</v>
      </c>
      <c r="E803" s="130">
        <v>-1.7999989999999999</v>
      </c>
      <c r="H803" s="16">
        <v>1200000</v>
      </c>
      <c r="I803">
        <v>6.2370000000000004E-4</v>
      </c>
    </row>
    <row r="804" spans="1:9" x14ac:dyDescent="0.25">
      <c r="A804" t="s">
        <v>353</v>
      </c>
      <c r="B804" t="s">
        <v>123</v>
      </c>
      <c r="C804">
        <v>2003</v>
      </c>
      <c r="D804" s="130">
        <v>38.599997999999999</v>
      </c>
      <c r="E804" s="130">
        <v>0.29999920000000002</v>
      </c>
      <c r="H804" s="16">
        <v>1200000</v>
      </c>
      <c r="I804">
        <v>6.5269999999999998E-4</v>
      </c>
    </row>
    <row r="805" spans="1:9" x14ac:dyDescent="0.25">
      <c r="A805" t="s">
        <v>353</v>
      </c>
      <c r="B805" t="s">
        <v>123</v>
      </c>
      <c r="C805">
        <v>2004</v>
      </c>
      <c r="D805" s="130">
        <v>38.700001</v>
      </c>
      <c r="E805" s="130">
        <v>0.1000023</v>
      </c>
      <c r="H805" s="16">
        <v>1200000</v>
      </c>
      <c r="I805">
        <v>3.9125999999999996E-3</v>
      </c>
    </row>
    <row r="806" spans="1:9" x14ac:dyDescent="0.25">
      <c r="A806" t="s">
        <v>353</v>
      </c>
      <c r="B806" t="s">
        <v>123</v>
      </c>
      <c r="C806">
        <v>2005</v>
      </c>
      <c r="D806" s="130">
        <v>37.599997999999999</v>
      </c>
      <c r="E806" s="130">
        <v>-1.1000019999999999</v>
      </c>
      <c r="H806" s="16">
        <v>1200000</v>
      </c>
      <c r="I806">
        <v>1.1983199999999999E-2</v>
      </c>
    </row>
    <row r="807" spans="1:9" x14ac:dyDescent="0.25">
      <c r="A807" t="s">
        <v>353</v>
      </c>
      <c r="B807" t="s">
        <v>123</v>
      </c>
      <c r="C807">
        <v>2006</v>
      </c>
      <c r="D807" s="130">
        <v>38.5</v>
      </c>
      <c r="E807" s="130">
        <v>0.90000150000000001</v>
      </c>
      <c r="F807" s="130">
        <v>8954.33</v>
      </c>
      <c r="H807" s="16">
        <v>1200000</v>
      </c>
      <c r="I807">
        <v>1.0652500000000001E-2</v>
      </c>
    </row>
    <row r="808" spans="1:9" x14ac:dyDescent="0.25">
      <c r="A808" t="s">
        <v>353</v>
      </c>
      <c r="B808" t="s">
        <v>123</v>
      </c>
      <c r="C808">
        <v>2007</v>
      </c>
      <c r="D808" s="130">
        <v>36.599997999999999</v>
      </c>
      <c r="E808" s="130">
        <v>-1.900002</v>
      </c>
      <c r="F808" s="130">
        <v>9047.5</v>
      </c>
      <c r="G808" s="130">
        <v>1.03512E-2</v>
      </c>
      <c r="H808" s="16">
        <v>1200000</v>
      </c>
      <c r="I808">
        <v>1.09242E-2</v>
      </c>
    </row>
    <row r="809" spans="1:9" x14ac:dyDescent="0.25">
      <c r="A809" t="s">
        <v>353</v>
      </c>
      <c r="B809" t="s">
        <v>123</v>
      </c>
      <c r="C809">
        <v>2008</v>
      </c>
      <c r="D809" s="130">
        <v>39.599997999999999</v>
      </c>
      <c r="E809" s="130">
        <v>3</v>
      </c>
      <c r="F809" s="130">
        <v>8951.11</v>
      </c>
      <c r="G809" s="130">
        <v>-1.07107E-2</v>
      </c>
      <c r="H809" s="16">
        <v>1200000</v>
      </c>
      <c r="I809">
        <v>9.8779999999999996E-3</v>
      </c>
    </row>
    <row r="810" spans="1:9" x14ac:dyDescent="0.25">
      <c r="A810" t="s">
        <v>353</v>
      </c>
      <c r="B810" t="s">
        <v>123</v>
      </c>
      <c r="C810">
        <v>2009</v>
      </c>
      <c r="F810" s="130">
        <v>8526.1</v>
      </c>
      <c r="G810" s="130">
        <v>-4.8646000000000002E-2</v>
      </c>
      <c r="H810" s="16">
        <v>1200000</v>
      </c>
      <c r="I810">
        <v>-2.3406E-2</v>
      </c>
    </row>
    <row r="811" spans="1:9" x14ac:dyDescent="0.25">
      <c r="A811" t="s">
        <v>353</v>
      </c>
      <c r="B811" t="s">
        <v>123</v>
      </c>
      <c r="C811">
        <v>2010</v>
      </c>
      <c r="F811" s="130">
        <v>8370.4500000000007</v>
      </c>
      <c r="G811" s="130">
        <v>-1.8423999999999999E-2</v>
      </c>
      <c r="H811" s="16">
        <v>1200000</v>
      </c>
      <c r="I811">
        <v>-9.8901000000000006E-3</v>
      </c>
    </row>
    <row r="812" spans="1:9" x14ac:dyDescent="0.25">
      <c r="A812" t="s">
        <v>353</v>
      </c>
      <c r="B812" t="s">
        <v>123</v>
      </c>
      <c r="C812">
        <v>2011</v>
      </c>
      <c r="D812" s="130">
        <v>39.900002000000001</v>
      </c>
      <c r="F812" s="130">
        <v>8484.59</v>
      </c>
      <c r="G812" s="130">
        <v>1.3543100000000001E-2</v>
      </c>
      <c r="H812" s="16">
        <v>1200000</v>
      </c>
      <c r="I812">
        <v>7.3191999999999997E-3</v>
      </c>
    </row>
    <row r="813" spans="1:9" x14ac:dyDescent="0.25">
      <c r="A813" t="s">
        <v>353</v>
      </c>
      <c r="B813" t="s">
        <v>123</v>
      </c>
      <c r="C813">
        <v>2012</v>
      </c>
      <c r="D813" s="130">
        <v>40.599997999999999</v>
      </c>
      <c r="E813" s="130">
        <v>0.69999690000000003</v>
      </c>
      <c r="F813" s="130">
        <v>8421.42</v>
      </c>
      <c r="G813" s="130">
        <v>-7.4729999999999996E-3</v>
      </c>
      <c r="H813" s="16">
        <v>1200000</v>
      </c>
      <c r="I813">
        <v>1.6149299999999998E-2</v>
      </c>
    </row>
    <row r="814" spans="1:9" x14ac:dyDescent="0.25">
      <c r="A814" t="s">
        <v>353</v>
      </c>
      <c r="B814" t="s">
        <v>123</v>
      </c>
      <c r="C814">
        <v>2013</v>
      </c>
    </row>
    <row r="815" spans="1:9" x14ac:dyDescent="0.25">
      <c r="A815" t="s">
        <v>354</v>
      </c>
      <c r="B815" t="s">
        <v>174</v>
      </c>
      <c r="C815">
        <v>1990</v>
      </c>
      <c r="D815" s="130">
        <v>22.299999</v>
      </c>
      <c r="F815" s="130">
        <v>29541.3</v>
      </c>
      <c r="H815" s="16">
        <v>64000000</v>
      </c>
    </row>
    <row r="816" spans="1:9" x14ac:dyDescent="0.25">
      <c r="A816" t="s">
        <v>354</v>
      </c>
      <c r="B816" t="s">
        <v>174</v>
      </c>
      <c r="C816">
        <v>1991</v>
      </c>
      <c r="D816" s="130">
        <v>21.200001</v>
      </c>
      <c r="E816" s="130">
        <v>-1.099998</v>
      </c>
      <c r="F816" s="130">
        <v>30428.7</v>
      </c>
      <c r="G816" s="130">
        <v>2.9599199999999999E-2</v>
      </c>
      <c r="H816" s="16">
        <v>65000000</v>
      </c>
      <c r="I816">
        <v>1.96022E-2</v>
      </c>
    </row>
    <row r="817" spans="1:9" x14ac:dyDescent="0.25">
      <c r="A817" t="s">
        <v>354</v>
      </c>
      <c r="B817" t="s">
        <v>174</v>
      </c>
      <c r="C817">
        <v>1992</v>
      </c>
      <c r="D817" s="130">
        <v>20.200001</v>
      </c>
      <c r="E817" s="130">
        <v>-1</v>
      </c>
      <c r="F817" s="130">
        <v>30601.9</v>
      </c>
      <c r="G817" s="130">
        <v>5.6743999999999996E-3</v>
      </c>
      <c r="H817" s="16">
        <v>66000000</v>
      </c>
      <c r="I817">
        <v>1.35522E-2</v>
      </c>
    </row>
    <row r="818" spans="1:9" x14ac:dyDescent="0.25">
      <c r="A818" t="s">
        <v>354</v>
      </c>
      <c r="B818" t="s">
        <v>174</v>
      </c>
      <c r="C818">
        <v>1993</v>
      </c>
      <c r="D818" s="130">
        <v>19.100000000000001</v>
      </c>
      <c r="E818" s="130">
        <v>-1.1000000000000001</v>
      </c>
      <c r="F818" s="130">
        <v>30578.7</v>
      </c>
      <c r="G818" s="130">
        <v>-7.5909999999999997E-4</v>
      </c>
      <c r="H818" s="16">
        <v>66000000</v>
      </c>
      <c r="I818">
        <v>4.8180000000000002E-3</v>
      </c>
    </row>
    <row r="819" spans="1:9" x14ac:dyDescent="0.25">
      <c r="A819" t="s">
        <v>354</v>
      </c>
      <c r="B819" t="s">
        <v>174</v>
      </c>
      <c r="C819">
        <v>1994</v>
      </c>
      <c r="D819" s="130">
        <v>18.600000000000001</v>
      </c>
      <c r="E819" s="130">
        <v>-0.5</v>
      </c>
      <c r="F819" s="130">
        <v>30737.9</v>
      </c>
      <c r="G819" s="130">
        <v>5.1917999999999999E-3</v>
      </c>
      <c r="H819" s="16">
        <v>67000000</v>
      </c>
      <c r="I819">
        <v>5.2722999999999997E-3</v>
      </c>
    </row>
    <row r="820" spans="1:9" x14ac:dyDescent="0.25">
      <c r="A820" t="s">
        <v>354</v>
      </c>
      <c r="B820" t="s">
        <v>174</v>
      </c>
      <c r="C820">
        <v>1995</v>
      </c>
      <c r="D820" s="130">
        <v>18.299999</v>
      </c>
      <c r="E820" s="130">
        <v>-0.30000110000000002</v>
      </c>
      <c r="F820" s="130">
        <v>31215.5</v>
      </c>
      <c r="G820" s="130">
        <v>1.542E-2</v>
      </c>
      <c r="H820" s="16">
        <v>67000000</v>
      </c>
      <c r="I820">
        <v>5.3433999999999999E-3</v>
      </c>
    </row>
    <row r="821" spans="1:9" x14ac:dyDescent="0.25">
      <c r="A821" t="s">
        <v>354</v>
      </c>
      <c r="B821" t="s">
        <v>174</v>
      </c>
      <c r="C821">
        <v>1996</v>
      </c>
      <c r="D821" s="130">
        <v>17.700001</v>
      </c>
      <c r="E821" s="130">
        <v>-0.59999849999999999</v>
      </c>
      <c r="F821" s="130">
        <v>31948.2</v>
      </c>
      <c r="G821" s="130">
        <v>2.3201900000000001E-2</v>
      </c>
      <c r="H821" s="16">
        <v>67000000</v>
      </c>
      <c r="I821">
        <v>8.6595000000000005E-3</v>
      </c>
    </row>
    <row r="822" spans="1:9" x14ac:dyDescent="0.25">
      <c r="A822" t="s">
        <v>354</v>
      </c>
      <c r="B822" t="s">
        <v>174</v>
      </c>
      <c r="C822">
        <v>1997</v>
      </c>
      <c r="D822" s="130">
        <v>17.5</v>
      </c>
      <c r="E822" s="130">
        <v>-0.20000080000000001</v>
      </c>
      <c r="F822" s="130">
        <v>32373</v>
      </c>
      <c r="G822" s="130">
        <v>1.32093E-2</v>
      </c>
      <c r="H822" s="16">
        <v>68000000</v>
      </c>
      <c r="I822">
        <v>8.3651999999999997E-3</v>
      </c>
    </row>
    <row r="823" spans="1:9" x14ac:dyDescent="0.25">
      <c r="A823" t="s">
        <v>354</v>
      </c>
      <c r="B823" t="s">
        <v>174</v>
      </c>
      <c r="C823">
        <v>1998</v>
      </c>
      <c r="D823" s="130">
        <v>17.299999</v>
      </c>
      <c r="E823" s="130">
        <v>-0.20000080000000001</v>
      </c>
      <c r="F823" s="130">
        <v>31644.5</v>
      </c>
      <c r="G823" s="130">
        <v>-2.2761300000000002E-2</v>
      </c>
      <c r="H823" s="16">
        <v>68000000</v>
      </c>
      <c r="I823">
        <v>1.2032E-3</v>
      </c>
    </row>
    <row r="824" spans="1:9" x14ac:dyDescent="0.25">
      <c r="A824" t="s">
        <v>354</v>
      </c>
      <c r="B824" t="s">
        <v>174</v>
      </c>
      <c r="C824">
        <v>1999</v>
      </c>
      <c r="D824" s="130">
        <v>17.200001</v>
      </c>
      <c r="E824" s="130">
        <v>-9.9998500000000004E-2</v>
      </c>
      <c r="F824" s="130">
        <v>31521.599999999999</v>
      </c>
      <c r="G824" s="130">
        <v>-3.8918999999999998E-3</v>
      </c>
      <c r="H824" s="16">
        <v>68000000</v>
      </c>
      <c r="I824">
        <v>-3.2345999999999998E-3</v>
      </c>
    </row>
    <row r="825" spans="1:9" x14ac:dyDescent="0.25">
      <c r="A825" t="s">
        <v>354</v>
      </c>
      <c r="B825" t="s">
        <v>174</v>
      </c>
      <c r="C825">
        <v>2000</v>
      </c>
      <c r="D825" s="130">
        <v>16.600000000000001</v>
      </c>
      <c r="E825" s="130">
        <v>-0.60000039999999999</v>
      </c>
      <c r="F825" s="130">
        <v>32177.3</v>
      </c>
      <c r="G825" s="130">
        <v>2.0587899999999999E-2</v>
      </c>
      <c r="H825" s="16">
        <v>68000000</v>
      </c>
      <c r="I825">
        <v>-3.7943E-3</v>
      </c>
    </row>
    <row r="826" spans="1:9" x14ac:dyDescent="0.25">
      <c r="A826" t="s">
        <v>354</v>
      </c>
      <c r="B826" t="s">
        <v>174</v>
      </c>
      <c r="C826">
        <v>2001</v>
      </c>
      <c r="D826" s="130">
        <v>15.9</v>
      </c>
      <c r="E826" s="130">
        <v>-0.70000079999999998</v>
      </c>
      <c r="F826" s="130">
        <v>32220.799999999999</v>
      </c>
      <c r="G826" s="130">
        <v>1.3514E-3</v>
      </c>
      <c r="H826" s="16">
        <v>68000000</v>
      </c>
      <c r="I826">
        <v>-2.5940000000000002E-4</v>
      </c>
    </row>
    <row r="827" spans="1:9" x14ac:dyDescent="0.25">
      <c r="A827" t="s">
        <v>354</v>
      </c>
      <c r="B827" t="s">
        <v>174</v>
      </c>
      <c r="C827">
        <v>2002</v>
      </c>
      <c r="D827" s="130">
        <v>15.4</v>
      </c>
      <c r="E827" s="130">
        <v>-0.5</v>
      </c>
      <c r="F827" s="130">
        <v>32239</v>
      </c>
      <c r="G827" s="130">
        <v>5.6649999999999995E-4</v>
      </c>
      <c r="H827" s="16">
        <v>67000000</v>
      </c>
      <c r="I827">
        <v>-7.2880999999999996E-3</v>
      </c>
    </row>
    <row r="828" spans="1:9" x14ac:dyDescent="0.25">
      <c r="A828" t="s">
        <v>354</v>
      </c>
      <c r="B828" t="s">
        <v>174</v>
      </c>
      <c r="C828">
        <v>2003</v>
      </c>
      <c r="D828" s="130">
        <v>15.1</v>
      </c>
      <c r="E828" s="130">
        <v>-0.29999920000000002</v>
      </c>
      <c r="F828" s="130">
        <v>32712.2</v>
      </c>
      <c r="G828" s="130">
        <v>1.4571199999999999E-2</v>
      </c>
      <c r="H828" s="16">
        <v>67000000</v>
      </c>
      <c r="I828">
        <v>-2.65E-3</v>
      </c>
    </row>
    <row r="829" spans="1:9" x14ac:dyDescent="0.25">
      <c r="A829" t="s">
        <v>354</v>
      </c>
      <c r="B829" t="s">
        <v>174</v>
      </c>
      <c r="C829">
        <v>2004</v>
      </c>
      <c r="D829" s="130">
        <v>14.9</v>
      </c>
      <c r="E829" s="130">
        <v>-0.20000080000000001</v>
      </c>
      <c r="F829" s="130">
        <v>33473.199999999997</v>
      </c>
      <c r="G829" s="130">
        <v>2.29959E-2</v>
      </c>
      <c r="H829" s="16">
        <v>67000000</v>
      </c>
      <c r="I829">
        <v>-4.7755999999999996E-3</v>
      </c>
    </row>
    <row r="830" spans="1:9" x14ac:dyDescent="0.25">
      <c r="A830" t="s">
        <v>354</v>
      </c>
      <c r="B830" t="s">
        <v>174</v>
      </c>
      <c r="C830">
        <v>2005</v>
      </c>
      <c r="D830" s="130">
        <v>14.7</v>
      </c>
      <c r="E830" s="130">
        <v>-0.19999980000000001</v>
      </c>
      <c r="F830" s="130">
        <v>33906.1</v>
      </c>
      <c r="G830" s="130">
        <v>1.28489E-2</v>
      </c>
      <c r="H830" s="16">
        <v>67000000</v>
      </c>
      <c r="I830">
        <v>-3.3500000000000001E-5</v>
      </c>
    </row>
    <row r="831" spans="1:9" x14ac:dyDescent="0.25">
      <c r="A831" t="s">
        <v>354</v>
      </c>
      <c r="B831" t="s">
        <v>174</v>
      </c>
      <c r="C831">
        <v>2006</v>
      </c>
      <c r="D831" s="130">
        <v>13.8</v>
      </c>
      <c r="E831" s="130">
        <v>-0.89999960000000001</v>
      </c>
      <c r="F831" s="130">
        <v>34484.699999999997</v>
      </c>
      <c r="G831" s="130">
        <v>1.6920999999999999E-2</v>
      </c>
      <c r="H831" s="16">
        <v>67000000</v>
      </c>
      <c r="I831">
        <v>-4.1560000000000002E-4</v>
      </c>
    </row>
    <row r="832" spans="1:9" x14ac:dyDescent="0.25">
      <c r="A832" t="s">
        <v>354</v>
      </c>
      <c r="B832" t="s">
        <v>174</v>
      </c>
      <c r="C832">
        <v>2007</v>
      </c>
      <c r="D832" s="130">
        <v>13.4</v>
      </c>
      <c r="E832" s="130">
        <v>-0.40000059999999998</v>
      </c>
      <c r="F832" s="130">
        <v>35236.6</v>
      </c>
      <c r="G832" s="130">
        <v>2.15693E-2</v>
      </c>
      <c r="H832" s="16">
        <v>67000000</v>
      </c>
      <c r="I832">
        <v>3.1784000000000001E-3</v>
      </c>
    </row>
    <row r="833" spans="1:9" x14ac:dyDescent="0.25">
      <c r="A833" t="s">
        <v>354</v>
      </c>
      <c r="B833" t="s">
        <v>174</v>
      </c>
      <c r="C833">
        <v>2008</v>
      </c>
      <c r="D833" s="130">
        <v>13</v>
      </c>
      <c r="E833" s="130">
        <v>-0.39999960000000001</v>
      </c>
      <c r="F833" s="130">
        <v>34887.800000000003</v>
      </c>
      <c r="G833" s="130">
        <v>-9.9486999999999996E-3</v>
      </c>
      <c r="H833" s="16">
        <v>67000000</v>
      </c>
      <c r="I833">
        <v>-2.7828000000000002E-3</v>
      </c>
    </row>
    <row r="834" spans="1:9" x14ac:dyDescent="0.25">
      <c r="A834" t="s">
        <v>354</v>
      </c>
      <c r="B834" t="s">
        <v>174</v>
      </c>
      <c r="C834">
        <v>2009</v>
      </c>
      <c r="D834" s="130">
        <v>12.7</v>
      </c>
      <c r="E834" s="130">
        <v>-0.30000019999999999</v>
      </c>
      <c r="F834" s="130">
        <v>32997.300000000003</v>
      </c>
      <c r="G834" s="130">
        <v>-5.5710799999999998E-2</v>
      </c>
      <c r="H834" s="16">
        <v>66000000</v>
      </c>
      <c r="I834">
        <v>-5.2426E-3</v>
      </c>
    </row>
    <row r="835" spans="1:9" x14ac:dyDescent="0.25">
      <c r="A835" t="s">
        <v>354</v>
      </c>
      <c r="B835" t="s">
        <v>174</v>
      </c>
      <c r="C835">
        <v>2010</v>
      </c>
      <c r="D835" s="130">
        <v>12.3</v>
      </c>
      <c r="E835" s="130">
        <v>-0.39999960000000001</v>
      </c>
      <c r="F835" s="130">
        <v>34561.5</v>
      </c>
      <c r="G835" s="130">
        <v>4.63142E-2</v>
      </c>
      <c r="H835" s="16">
        <v>66000000</v>
      </c>
      <c r="I835">
        <v>1.9453000000000001E-3</v>
      </c>
    </row>
    <row r="836" spans="1:9" x14ac:dyDescent="0.25">
      <c r="A836" t="s">
        <v>354</v>
      </c>
      <c r="B836" t="s">
        <v>174</v>
      </c>
      <c r="C836">
        <v>2011</v>
      </c>
      <c r="D836" s="130">
        <v>11.9</v>
      </c>
      <c r="E836" s="130">
        <v>-0.40000059999999998</v>
      </c>
      <c r="F836" s="130">
        <v>34265.699999999997</v>
      </c>
      <c r="G836" s="130">
        <v>-8.5935999999999998E-3</v>
      </c>
      <c r="H836" s="16">
        <v>66000000</v>
      </c>
      <c r="I836">
        <v>-1.3341499999999999E-2</v>
      </c>
    </row>
    <row r="837" spans="1:9" x14ac:dyDescent="0.25">
      <c r="A837" t="s">
        <v>354</v>
      </c>
      <c r="B837" t="s">
        <v>174</v>
      </c>
      <c r="C837">
        <v>2012</v>
      </c>
      <c r="F837" s="130">
        <v>35006.199999999997</v>
      </c>
      <c r="G837" s="130">
        <v>2.1379499999999999E-2</v>
      </c>
      <c r="H837" s="16">
        <v>65000000</v>
      </c>
      <c r="I837">
        <v>-4.5259000000000002E-3</v>
      </c>
    </row>
    <row r="838" spans="1:9" x14ac:dyDescent="0.25">
      <c r="A838" t="s">
        <v>354</v>
      </c>
      <c r="B838" t="s">
        <v>174</v>
      </c>
      <c r="C838">
        <v>2013</v>
      </c>
    </row>
    <row r="839" spans="1:9" x14ac:dyDescent="0.25">
      <c r="A839" t="s">
        <v>359</v>
      </c>
      <c r="B839" t="s">
        <v>358</v>
      </c>
      <c r="C839">
        <v>1990</v>
      </c>
      <c r="D839" s="130">
        <v>39.5</v>
      </c>
      <c r="F839" s="130">
        <v>11994.3</v>
      </c>
      <c r="H839" s="16">
        <v>19000000</v>
      </c>
    </row>
    <row r="840" spans="1:9" x14ac:dyDescent="0.25">
      <c r="A840" t="s">
        <v>359</v>
      </c>
      <c r="B840" t="s">
        <v>358</v>
      </c>
      <c r="C840">
        <v>1991</v>
      </c>
      <c r="D840" s="130">
        <v>38.900002000000001</v>
      </c>
      <c r="E840" s="130">
        <v>-0.59999849999999999</v>
      </c>
      <c r="F840" s="130">
        <v>12991.7</v>
      </c>
      <c r="G840" s="130">
        <v>7.9879800000000001E-2</v>
      </c>
      <c r="H840" s="16">
        <v>20000000</v>
      </c>
      <c r="I840">
        <v>2.4146999999999998E-2</v>
      </c>
    </row>
    <row r="841" spans="1:9" x14ac:dyDescent="0.25">
      <c r="A841" t="s">
        <v>359</v>
      </c>
      <c r="B841" t="s">
        <v>358</v>
      </c>
      <c r="C841">
        <v>1992</v>
      </c>
      <c r="D841" s="130">
        <v>39</v>
      </c>
      <c r="E841" s="130">
        <v>9.9998500000000004E-2</v>
      </c>
      <c r="F841" s="130">
        <v>13612.9</v>
      </c>
      <c r="G841" s="130">
        <v>4.6704299999999997E-2</v>
      </c>
      <c r="H841" s="16">
        <v>20000000</v>
      </c>
      <c r="I841">
        <v>2.21114E-2</v>
      </c>
    </row>
    <row r="842" spans="1:9" x14ac:dyDescent="0.25">
      <c r="A842" t="s">
        <v>359</v>
      </c>
      <c r="B842" t="s">
        <v>358</v>
      </c>
      <c r="C842">
        <v>1993</v>
      </c>
      <c r="D842" s="130">
        <v>39</v>
      </c>
      <c r="E842" s="130">
        <v>0</v>
      </c>
      <c r="F842" s="130">
        <v>14301.8</v>
      </c>
      <c r="G842" s="130">
        <v>4.9371699999999998E-2</v>
      </c>
      <c r="H842" s="16">
        <v>20000000</v>
      </c>
      <c r="I842">
        <v>1.5978900000000001E-2</v>
      </c>
    </row>
    <row r="843" spans="1:9" x14ac:dyDescent="0.25">
      <c r="A843" t="s">
        <v>359</v>
      </c>
      <c r="B843" t="s">
        <v>358</v>
      </c>
      <c r="C843">
        <v>1994</v>
      </c>
      <c r="D843" s="130">
        <v>38.099997999999999</v>
      </c>
      <c r="E843" s="130">
        <v>-0.90000150000000001</v>
      </c>
      <c r="F843" s="130">
        <v>15367.3</v>
      </c>
      <c r="G843" s="130">
        <v>7.1855500000000003E-2</v>
      </c>
      <c r="H843" s="16">
        <v>21000000</v>
      </c>
      <c r="I843">
        <v>3.1548100000000003E-2</v>
      </c>
    </row>
    <row r="844" spans="1:9" x14ac:dyDescent="0.25">
      <c r="A844" t="s">
        <v>359</v>
      </c>
      <c r="B844" t="s">
        <v>358</v>
      </c>
      <c r="C844">
        <v>1995</v>
      </c>
      <c r="D844" s="130">
        <v>37.400002000000001</v>
      </c>
      <c r="E844" s="130">
        <v>-0.69999690000000003</v>
      </c>
      <c r="F844" s="130">
        <v>16608.400000000001</v>
      </c>
      <c r="G844" s="130">
        <v>7.7664399999999995E-2</v>
      </c>
      <c r="H844" s="16">
        <v>21000000</v>
      </c>
      <c r="I844">
        <v>2.4737499999999999E-2</v>
      </c>
    </row>
    <row r="845" spans="1:9" x14ac:dyDescent="0.25">
      <c r="A845" t="s">
        <v>359</v>
      </c>
      <c r="B845" t="s">
        <v>358</v>
      </c>
      <c r="C845">
        <v>1996</v>
      </c>
      <c r="D845" s="130">
        <v>37.200001</v>
      </c>
      <c r="E845" s="130">
        <v>-0.20000080000000001</v>
      </c>
      <c r="F845" s="130">
        <v>17602.2</v>
      </c>
      <c r="G845" s="130">
        <v>5.81179E-2</v>
      </c>
      <c r="H845" s="16">
        <v>22000000</v>
      </c>
      <c r="I845">
        <v>2.4439599999999999E-2</v>
      </c>
    </row>
    <row r="846" spans="1:9" x14ac:dyDescent="0.25">
      <c r="A846" t="s">
        <v>359</v>
      </c>
      <c r="B846" t="s">
        <v>358</v>
      </c>
      <c r="C846">
        <v>1997</v>
      </c>
      <c r="D846" s="130">
        <v>37.299999</v>
      </c>
      <c r="E846" s="130">
        <v>9.9998500000000004E-2</v>
      </c>
      <c r="F846" s="130">
        <v>18249</v>
      </c>
      <c r="G846" s="130">
        <v>3.6083200000000003E-2</v>
      </c>
      <c r="H846" s="16">
        <v>22000000</v>
      </c>
      <c r="I846">
        <v>2.4489899999999998E-2</v>
      </c>
    </row>
    <row r="847" spans="1:9" x14ac:dyDescent="0.25">
      <c r="A847" t="s">
        <v>359</v>
      </c>
      <c r="B847" t="s">
        <v>358</v>
      </c>
      <c r="C847">
        <v>1998</v>
      </c>
      <c r="D847" s="130">
        <v>39</v>
      </c>
      <c r="E847" s="130">
        <v>1.7000010000000001</v>
      </c>
      <c r="F847" s="130">
        <v>16875.900000000001</v>
      </c>
      <c r="G847" s="130">
        <v>-7.8226100000000007E-2</v>
      </c>
      <c r="H847" s="16">
        <v>22000000</v>
      </c>
      <c r="I847">
        <v>-1.94825E-2</v>
      </c>
    </row>
    <row r="848" spans="1:9" x14ac:dyDescent="0.25">
      <c r="A848" t="s">
        <v>359</v>
      </c>
      <c r="B848" t="s">
        <v>358</v>
      </c>
      <c r="C848">
        <v>1999</v>
      </c>
      <c r="D848" s="130">
        <v>38.299999</v>
      </c>
      <c r="E848" s="130">
        <v>-0.70000079999999998</v>
      </c>
      <c r="F848" s="130">
        <v>18345.900000000001</v>
      </c>
      <c r="G848" s="130">
        <v>8.3521799999999993E-2</v>
      </c>
      <c r="H848" s="16">
        <v>22000000</v>
      </c>
      <c r="I848">
        <v>1.1965399999999999E-2</v>
      </c>
    </row>
    <row r="849" spans="1:9" x14ac:dyDescent="0.25">
      <c r="A849" t="s">
        <v>359</v>
      </c>
      <c r="B849" t="s">
        <v>358</v>
      </c>
      <c r="C849">
        <v>2000</v>
      </c>
      <c r="D849" s="130">
        <v>36.900002000000001</v>
      </c>
      <c r="E849" s="130">
        <v>-1.3999980000000001</v>
      </c>
      <c r="F849" s="130">
        <v>19737</v>
      </c>
      <c r="G849" s="130">
        <v>7.3090600000000006E-2</v>
      </c>
      <c r="H849" s="16">
        <v>23000000</v>
      </c>
      <c r="I849">
        <v>2.29508E-2</v>
      </c>
    </row>
    <row r="850" spans="1:9" x14ac:dyDescent="0.25">
      <c r="A850" t="s">
        <v>359</v>
      </c>
      <c r="B850" t="s">
        <v>358</v>
      </c>
      <c r="C850">
        <v>2001</v>
      </c>
      <c r="D850" s="130">
        <v>36.700001</v>
      </c>
      <c r="E850" s="130">
        <v>-0.20000080000000001</v>
      </c>
      <c r="F850" s="130">
        <v>20369.900000000001</v>
      </c>
      <c r="G850" s="130">
        <v>3.1563800000000003E-2</v>
      </c>
      <c r="H850" s="16">
        <v>23000000</v>
      </c>
      <c r="I850">
        <v>1.59533E-2</v>
      </c>
    </row>
    <row r="851" spans="1:9" x14ac:dyDescent="0.25">
      <c r="A851" t="s">
        <v>359</v>
      </c>
      <c r="B851" t="s">
        <v>358</v>
      </c>
      <c r="C851">
        <v>2002</v>
      </c>
      <c r="D851" s="130">
        <v>36</v>
      </c>
      <c r="E851" s="130">
        <v>-0.70000079999999998</v>
      </c>
      <c r="F851" s="130">
        <v>21705</v>
      </c>
      <c r="G851" s="130">
        <v>6.3483200000000004E-2</v>
      </c>
      <c r="H851" s="16">
        <v>23000000</v>
      </c>
      <c r="I851">
        <v>2.1650599999999999E-2</v>
      </c>
    </row>
    <row r="852" spans="1:9" x14ac:dyDescent="0.25">
      <c r="A852" t="s">
        <v>359</v>
      </c>
      <c r="B852" t="s">
        <v>358</v>
      </c>
      <c r="C852">
        <v>2003</v>
      </c>
      <c r="D852" s="130">
        <v>34.900002000000001</v>
      </c>
      <c r="E852" s="130">
        <v>-1.099998</v>
      </c>
      <c r="F852" s="130">
        <v>22202.799999999999</v>
      </c>
      <c r="G852" s="130">
        <v>2.2675500000000001E-2</v>
      </c>
      <c r="H852" s="16">
        <v>23000000</v>
      </c>
      <c r="I852">
        <v>-6.3049999999999998E-4</v>
      </c>
    </row>
    <row r="853" spans="1:9" x14ac:dyDescent="0.25">
      <c r="A853" t="s">
        <v>359</v>
      </c>
      <c r="B853" t="s">
        <v>358</v>
      </c>
      <c r="C853">
        <v>2004</v>
      </c>
      <c r="D853" s="130">
        <v>34</v>
      </c>
      <c r="E853" s="130">
        <v>-0.90000150000000001</v>
      </c>
      <c r="F853" s="130">
        <v>23141.3</v>
      </c>
      <c r="G853" s="130">
        <v>4.1398999999999998E-2</v>
      </c>
      <c r="H853" s="16">
        <v>24000000</v>
      </c>
      <c r="I853">
        <v>2.2624700000000001E-2</v>
      </c>
    </row>
    <row r="854" spans="1:9" x14ac:dyDescent="0.25">
      <c r="A854" t="s">
        <v>359</v>
      </c>
      <c r="B854" t="s">
        <v>358</v>
      </c>
      <c r="C854">
        <v>2005</v>
      </c>
      <c r="D854" s="130">
        <v>33.599997999999999</v>
      </c>
      <c r="E854" s="130">
        <v>-0.40000150000000001</v>
      </c>
      <c r="F854" s="130">
        <v>24007.7</v>
      </c>
      <c r="G854" s="130">
        <v>3.6756499999999998E-2</v>
      </c>
      <c r="H854" s="16">
        <v>24000000</v>
      </c>
      <c r="I854">
        <v>7.5094999999999997E-3</v>
      </c>
    </row>
    <row r="855" spans="1:9" x14ac:dyDescent="0.25">
      <c r="A855" t="s">
        <v>359</v>
      </c>
      <c r="B855" t="s">
        <v>358</v>
      </c>
      <c r="C855">
        <v>2006</v>
      </c>
      <c r="D855" s="130">
        <v>32.799999</v>
      </c>
      <c r="E855" s="130">
        <v>-0.79999920000000002</v>
      </c>
      <c r="F855" s="130">
        <v>25128.9</v>
      </c>
      <c r="G855" s="130">
        <v>4.5644799999999999E-2</v>
      </c>
      <c r="H855" s="16">
        <v>24000000</v>
      </c>
      <c r="I855">
        <v>1.2116999999999999E-2</v>
      </c>
    </row>
    <row r="856" spans="1:9" x14ac:dyDescent="0.25">
      <c r="A856" t="s">
        <v>359</v>
      </c>
      <c r="B856" t="s">
        <v>358</v>
      </c>
      <c r="C856">
        <v>2007</v>
      </c>
      <c r="D856" s="130">
        <v>31.799999</v>
      </c>
      <c r="E856" s="130">
        <v>-1</v>
      </c>
      <c r="F856" s="130">
        <v>26289.3</v>
      </c>
      <c r="G856" s="130">
        <v>4.51422E-2</v>
      </c>
      <c r="H856" s="16">
        <v>24000000</v>
      </c>
      <c r="I856">
        <v>1.48751E-2</v>
      </c>
    </row>
    <row r="857" spans="1:9" x14ac:dyDescent="0.25">
      <c r="A857" t="s">
        <v>359</v>
      </c>
      <c r="B857" t="s">
        <v>358</v>
      </c>
      <c r="C857">
        <v>2008</v>
      </c>
      <c r="D857" s="130">
        <v>31.299999</v>
      </c>
      <c r="E857" s="130">
        <v>-0.5</v>
      </c>
      <c r="F857" s="130">
        <v>26700.6</v>
      </c>
      <c r="G857" s="130">
        <v>1.5525799999999999E-2</v>
      </c>
      <c r="H857" s="16">
        <v>25000000</v>
      </c>
      <c r="I857">
        <v>8.1607999999999993E-3</v>
      </c>
    </row>
    <row r="858" spans="1:9" x14ac:dyDescent="0.25">
      <c r="A858" t="s">
        <v>359</v>
      </c>
      <c r="B858" t="s">
        <v>358</v>
      </c>
      <c r="C858">
        <v>2009</v>
      </c>
      <c r="D858" s="130">
        <v>30</v>
      </c>
      <c r="E858" s="130">
        <v>-1.2999989999999999</v>
      </c>
      <c r="F858" s="130">
        <v>26658.799999999999</v>
      </c>
      <c r="G858" s="130">
        <v>-1.5659000000000001E-3</v>
      </c>
      <c r="H858" s="16">
        <v>25000000</v>
      </c>
      <c r="I858">
        <v>4.8480000000000002E-4</v>
      </c>
    </row>
    <row r="859" spans="1:9" x14ac:dyDescent="0.25">
      <c r="A859" t="s">
        <v>359</v>
      </c>
      <c r="B859" t="s">
        <v>358</v>
      </c>
      <c r="C859">
        <v>2010</v>
      </c>
      <c r="D859" s="130">
        <v>28.799999</v>
      </c>
      <c r="E859" s="130">
        <v>-1.2000010000000001</v>
      </c>
      <c r="F859" s="130">
        <v>28212.799999999999</v>
      </c>
      <c r="G859" s="130">
        <v>5.6654000000000003E-2</v>
      </c>
      <c r="H859" s="16">
        <v>25000000</v>
      </c>
      <c r="I859">
        <v>1.6785999999999999E-2</v>
      </c>
    </row>
    <row r="860" spans="1:9" x14ac:dyDescent="0.25">
      <c r="A860" t="s">
        <v>359</v>
      </c>
      <c r="B860" t="s">
        <v>358</v>
      </c>
      <c r="C860">
        <v>2011</v>
      </c>
      <c r="D860" s="130">
        <v>28.200001</v>
      </c>
      <c r="E860" s="130">
        <v>-0.59999849999999999</v>
      </c>
      <c r="F860" s="130">
        <v>29034.7</v>
      </c>
      <c r="G860" s="130">
        <v>2.8718E-2</v>
      </c>
      <c r="H860" s="16">
        <v>25000000</v>
      </c>
      <c r="I860">
        <v>2.2177700000000002E-2</v>
      </c>
    </row>
    <row r="861" spans="1:9" x14ac:dyDescent="0.25">
      <c r="A861" t="s">
        <v>359</v>
      </c>
      <c r="B861" t="s">
        <v>358</v>
      </c>
      <c r="C861">
        <v>2012</v>
      </c>
      <c r="F861" s="130">
        <v>29494.9</v>
      </c>
      <c r="G861" s="130">
        <v>1.5725099999999999E-2</v>
      </c>
      <c r="H861" s="16">
        <v>26000000</v>
      </c>
      <c r="I861">
        <v>2.0108500000000001E-2</v>
      </c>
    </row>
    <row r="862" spans="1:9" x14ac:dyDescent="0.25">
      <c r="A862" t="s">
        <v>359</v>
      </c>
      <c r="B862" t="s">
        <v>358</v>
      </c>
      <c r="C862">
        <v>2013</v>
      </c>
    </row>
    <row r="863" spans="1:9" x14ac:dyDescent="0.25">
      <c r="A863" t="s">
        <v>422</v>
      </c>
      <c r="B863" t="s">
        <v>86</v>
      </c>
      <c r="C863">
        <v>1990</v>
      </c>
      <c r="D863" s="130">
        <v>44.799999</v>
      </c>
      <c r="F863" s="130">
        <v>3339.96</v>
      </c>
      <c r="H863" s="16">
        <v>6600000</v>
      </c>
    </row>
    <row r="864" spans="1:9" x14ac:dyDescent="0.25">
      <c r="A864" t="s">
        <v>422</v>
      </c>
      <c r="B864" t="s">
        <v>86</v>
      </c>
      <c r="C864">
        <v>1991</v>
      </c>
      <c r="D864" s="130">
        <v>37.599997999999999</v>
      </c>
      <c r="E864" s="130">
        <v>-7.2000010000000003</v>
      </c>
      <c r="F864" s="130">
        <v>3442.61</v>
      </c>
      <c r="G864" s="130">
        <v>3.02715E-2</v>
      </c>
      <c r="H864" s="16">
        <v>6700000</v>
      </c>
      <c r="I864">
        <v>1.4963499999999999E-2</v>
      </c>
    </row>
    <row r="865" spans="1:9" x14ac:dyDescent="0.25">
      <c r="A865" t="s">
        <v>422</v>
      </c>
      <c r="B865" t="s">
        <v>86</v>
      </c>
      <c r="C865">
        <v>1992</v>
      </c>
      <c r="D865" s="130">
        <v>39.900002000000001</v>
      </c>
      <c r="E865" s="130">
        <v>2.3000029999999998</v>
      </c>
      <c r="F865" s="130">
        <v>3561.29</v>
      </c>
      <c r="G865" s="130">
        <v>3.3893600000000003E-2</v>
      </c>
      <c r="H865" s="16">
        <v>6800000</v>
      </c>
      <c r="I865">
        <v>9.6643000000000007E-3</v>
      </c>
    </row>
    <row r="866" spans="1:9" x14ac:dyDescent="0.25">
      <c r="A866" t="s">
        <v>422</v>
      </c>
      <c r="B866" t="s">
        <v>86</v>
      </c>
      <c r="C866">
        <v>1993</v>
      </c>
      <c r="D866" s="130">
        <v>39.799999</v>
      </c>
      <c r="E866" s="130">
        <v>-0.1000023</v>
      </c>
      <c r="F866" s="130">
        <v>3759.56</v>
      </c>
      <c r="G866" s="130">
        <v>5.4178200000000003E-2</v>
      </c>
      <c r="H866" s="16">
        <v>7000000</v>
      </c>
      <c r="I866">
        <v>2.4463200000000001E-2</v>
      </c>
    </row>
    <row r="867" spans="1:9" x14ac:dyDescent="0.25">
      <c r="A867" t="s">
        <v>422</v>
      </c>
      <c r="B867" t="s">
        <v>86</v>
      </c>
      <c r="C867">
        <v>1994</v>
      </c>
      <c r="D867" s="130">
        <v>39.299999</v>
      </c>
      <c r="E867" s="130">
        <v>-0.5</v>
      </c>
      <c r="F867" s="130">
        <v>3915.73</v>
      </c>
      <c r="G867" s="130">
        <v>4.0698999999999999E-2</v>
      </c>
      <c r="H867" s="16">
        <v>7100000</v>
      </c>
      <c r="I867">
        <v>1.8957999999999999E-2</v>
      </c>
    </row>
    <row r="868" spans="1:9" x14ac:dyDescent="0.25">
      <c r="A868" t="s">
        <v>422</v>
      </c>
      <c r="B868" t="s">
        <v>86</v>
      </c>
      <c r="C868">
        <v>1995</v>
      </c>
      <c r="D868" s="130">
        <v>40.200001</v>
      </c>
      <c r="E868" s="130">
        <v>0.90000150000000001</v>
      </c>
      <c r="F868" s="130">
        <v>4075.29</v>
      </c>
      <c r="G868" s="130">
        <v>3.99399E-2</v>
      </c>
      <c r="H868" s="16">
        <v>7100000</v>
      </c>
      <c r="I868">
        <v>3.7469000000000001E-3</v>
      </c>
    </row>
    <row r="869" spans="1:9" x14ac:dyDescent="0.25">
      <c r="A869" t="s">
        <v>422</v>
      </c>
      <c r="B869" t="s">
        <v>86</v>
      </c>
      <c r="C869">
        <v>1996</v>
      </c>
      <c r="D869" s="130">
        <v>39.200001</v>
      </c>
      <c r="E869" s="130">
        <v>-1</v>
      </c>
      <c r="F869" s="130">
        <v>4184.01</v>
      </c>
      <c r="G869" s="130">
        <v>2.63281E-2</v>
      </c>
      <c r="H869" s="16">
        <v>7300000</v>
      </c>
      <c r="I869">
        <v>2.22721E-2</v>
      </c>
    </row>
    <row r="870" spans="1:9" x14ac:dyDescent="0.25">
      <c r="A870" t="s">
        <v>422</v>
      </c>
      <c r="B870" t="s">
        <v>86</v>
      </c>
      <c r="C870">
        <v>1997</v>
      </c>
      <c r="D870" s="130">
        <v>40.599997999999999</v>
      </c>
      <c r="E870" s="130">
        <v>1.3999980000000001</v>
      </c>
      <c r="F870" s="130">
        <v>4396.38</v>
      </c>
      <c r="G870" s="130">
        <v>4.9512899999999999E-2</v>
      </c>
      <c r="H870" s="16">
        <v>7400000</v>
      </c>
      <c r="I870">
        <v>2.6536000000000001E-2</v>
      </c>
    </row>
    <row r="871" spans="1:9" x14ac:dyDescent="0.25">
      <c r="A871" t="s">
        <v>422</v>
      </c>
      <c r="B871" t="s">
        <v>86</v>
      </c>
      <c r="C871">
        <v>1998</v>
      </c>
      <c r="D871" s="130">
        <v>44.400002000000001</v>
      </c>
      <c r="E871" s="130">
        <v>3.8000029999999998</v>
      </c>
      <c r="F871" s="130">
        <v>4550.01</v>
      </c>
      <c r="G871" s="130">
        <v>3.4348499999999997E-2</v>
      </c>
      <c r="H871" s="16">
        <v>8100000</v>
      </c>
      <c r="I871">
        <v>9.3196000000000001E-2</v>
      </c>
    </row>
    <row r="872" spans="1:9" x14ac:dyDescent="0.25">
      <c r="A872" t="s">
        <v>422</v>
      </c>
      <c r="B872" t="s">
        <v>86</v>
      </c>
      <c r="C872">
        <v>1999</v>
      </c>
      <c r="D872" s="130">
        <v>42.5</v>
      </c>
      <c r="E872" s="130">
        <v>-1.900002</v>
      </c>
      <c r="F872" s="130">
        <v>4677.95</v>
      </c>
      <c r="G872" s="130">
        <v>2.7730000000000001E-2</v>
      </c>
      <c r="H872" s="16">
        <v>8000000</v>
      </c>
      <c r="I872">
        <v>-7.0800999999999998E-3</v>
      </c>
    </row>
    <row r="873" spans="1:9" x14ac:dyDescent="0.25">
      <c r="A873" t="s">
        <v>422</v>
      </c>
      <c r="B873" t="s">
        <v>86</v>
      </c>
      <c r="C873">
        <v>2000</v>
      </c>
      <c r="D873" s="130">
        <v>43.799999</v>
      </c>
      <c r="E873" s="130">
        <v>1.2999989999999999</v>
      </c>
      <c r="F873" s="130">
        <v>4946.6899999999996</v>
      </c>
      <c r="G873" s="130">
        <v>5.5857700000000003E-2</v>
      </c>
      <c r="H873" s="16">
        <v>7900000</v>
      </c>
      <c r="I873">
        <v>-8.3649999999999992E-3</v>
      </c>
    </row>
    <row r="874" spans="1:9" x14ac:dyDescent="0.25">
      <c r="A874" t="s">
        <v>422</v>
      </c>
      <c r="B874" t="s">
        <v>86</v>
      </c>
      <c r="C874">
        <v>2001</v>
      </c>
      <c r="D874" s="130">
        <v>41.400002000000001</v>
      </c>
      <c r="E874" s="130">
        <v>-2.3999980000000001</v>
      </c>
      <c r="F874" s="130">
        <v>4949.2700000000004</v>
      </c>
      <c r="G874" s="130">
        <v>5.2170000000000005E-4</v>
      </c>
      <c r="H874" s="16">
        <v>7800000</v>
      </c>
      <c r="I874">
        <v>-2.0980700000000001E-2</v>
      </c>
    </row>
    <row r="875" spans="1:9" x14ac:dyDescent="0.25">
      <c r="A875" t="s">
        <v>422</v>
      </c>
      <c r="B875" t="s">
        <v>86</v>
      </c>
      <c r="C875">
        <v>2002</v>
      </c>
      <c r="D875" s="130">
        <v>42.099997999999999</v>
      </c>
      <c r="E875" s="130">
        <v>0.69999690000000003</v>
      </c>
      <c r="F875" s="130">
        <v>5111.7700000000004</v>
      </c>
      <c r="G875" s="130">
        <v>3.23057E-2</v>
      </c>
      <c r="H875" s="16">
        <v>7800000</v>
      </c>
      <c r="I875">
        <v>4.8789000000000003E-3</v>
      </c>
    </row>
    <row r="876" spans="1:9" x14ac:dyDescent="0.25">
      <c r="A876" t="s">
        <v>422</v>
      </c>
      <c r="B876" t="s">
        <v>86</v>
      </c>
      <c r="C876">
        <v>2003</v>
      </c>
      <c r="D876" s="130">
        <v>42.099997999999999</v>
      </c>
      <c r="E876" s="130">
        <v>0</v>
      </c>
      <c r="F876" s="130">
        <v>5344.24</v>
      </c>
      <c r="G876" s="130">
        <v>4.4474600000000003E-2</v>
      </c>
      <c r="H876" s="16">
        <v>7900000</v>
      </c>
      <c r="I876">
        <v>1.17894E-2</v>
      </c>
    </row>
    <row r="877" spans="1:9" x14ac:dyDescent="0.25">
      <c r="A877" t="s">
        <v>422</v>
      </c>
      <c r="B877" t="s">
        <v>86</v>
      </c>
      <c r="C877">
        <v>2004</v>
      </c>
      <c r="D877" s="130">
        <v>40.599997999999999</v>
      </c>
      <c r="E877" s="130">
        <v>-1.5</v>
      </c>
      <c r="F877" s="130">
        <v>5559.27</v>
      </c>
      <c r="G877" s="130">
        <v>3.9446799999999997E-2</v>
      </c>
      <c r="H877" s="16">
        <v>7900000</v>
      </c>
      <c r="I877">
        <v>-1.7388E-3</v>
      </c>
    </row>
    <row r="878" spans="1:9" x14ac:dyDescent="0.25">
      <c r="A878" t="s">
        <v>422</v>
      </c>
      <c r="B878" t="s">
        <v>86</v>
      </c>
      <c r="C878">
        <v>2005</v>
      </c>
      <c r="D878" s="130">
        <v>40.700001</v>
      </c>
      <c r="E878" s="130">
        <v>0.1000023</v>
      </c>
      <c r="F878" s="130">
        <v>5843.43</v>
      </c>
      <c r="G878" s="130">
        <v>4.9850499999999999E-2</v>
      </c>
      <c r="H878" s="16">
        <v>8100000</v>
      </c>
      <c r="I878">
        <v>2.2343600000000002E-2</v>
      </c>
    </row>
    <row r="879" spans="1:9" x14ac:dyDescent="0.25">
      <c r="A879" t="s">
        <v>422</v>
      </c>
      <c r="B879" t="s">
        <v>86</v>
      </c>
      <c r="C879">
        <v>2006</v>
      </c>
      <c r="D879" s="130">
        <v>44.400002000000001</v>
      </c>
      <c r="E879" s="130">
        <v>3.7000009999999999</v>
      </c>
      <c r="F879" s="130">
        <v>6223.72</v>
      </c>
      <c r="G879" s="130">
        <v>6.3050300000000004E-2</v>
      </c>
      <c r="H879" s="16">
        <v>8600000</v>
      </c>
      <c r="I879">
        <v>8.2491400000000006E-2</v>
      </c>
    </row>
    <row r="880" spans="1:9" x14ac:dyDescent="0.25">
      <c r="A880" t="s">
        <v>422</v>
      </c>
      <c r="B880" t="s">
        <v>86</v>
      </c>
      <c r="C880">
        <v>2007</v>
      </c>
      <c r="D880" s="130">
        <v>43.5</v>
      </c>
      <c r="E880" s="130">
        <v>-0.90000150000000001</v>
      </c>
      <c r="F880" s="130">
        <v>6586.7</v>
      </c>
      <c r="G880" s="130">
        <v>5.6684499999999999E-2</v>
      </c>
      <c r="H880" s="16">
        <v>8500000</v>
      </c>
      <c r="I880">
        <v>-2.2785799999999998E-2</v>
      </c>
    </row>
    <row r="881" spans="1:9" x14ac:dyDescent="0.25">
      <c r="A881" t="s">
        <v>422</v>
      </c>
      <c r="B881" t="s">
        <v>86</v>
      </c>
      <c r="C881">
        <v>2008</v>
      </c>
      <c r="D881" s="130">
        <v>43.5</v>
      </c>
      <c r="E881" s="130">
        <v>0</v>
      </c>
      <c r="F881" s="130">
        <v>6917.17</v>
      </c>
      <c r="G881" s="130">
        <v>4.8954999999999999E-2</v>
      </c>
      <c r="H881" s="16">
        <v>8500000</v>
      </c>
      <c r="I881">
        <v>7.6521999999999996E-3</v>
      </c>
    </row>
    <row r="882" spans="1:9" x14ac:dyDescent="0.25">
      <c r="A882" t="s">
        <v>422</v>
      </c>
      <c r="B882" t="s">
        <v>86</v>
      </c>
      <c r="C882">
        <v>2009</v>
      </c>
      <c r="D882" s="130">
        <v>42.400002000000001</v>
      </c>
      <c r="E882" s="130">
        <v>-1.099998</v>
      </c>
      <c r="F882" s="130">
        <v>7080.36</v>
      </c>
      <c r="G882" s="130">
        <v>2.33183E-2</v>
      </c>
      <c r="H882" s="16">
        <v>8600000</v>
      </c>
      <c r="I882">
        <v>8.2796999999999992E-3</v>
      </c>
    </row>
    <row r="883" spans="1:9" x14ac:dyDescent="0.25">
      <c r="A883" t="s">
        <v>422</v>
      </c>
      <c r="B883" t="s">
        <v>86</v>
      </c>
      <c r="C883">
        <v>2010</v>
      </c>
      <c r="D883" s="130">
        <v>44.5</v>
      </c>
      <c r="E883" s="130">
        <v>2.0999979999999998</v>
      </c>
      <c r="F883" s="130">
        <v>7572.75</v>
      </c>
      <c r="G883" s="130">
        <v>6.7231200000000005E-2</v>
      </c>
      <c r="H883" s="16">
        <v>8500000</v>
      </c>
      <c r="I883">
        <v>-8.0683000000000005E-3</v>
      </c>
    </row>
    <row r="884" spans="1:9" x14ac:dyDescent="0.25">
      <c r="A884" t="s">
        <v>422</v>
      </c>
      <c r="B884" t="s">
        <v>86</v>
      </c>
      <c r="C884">
        <v>2011</v>
      </c>
      <c r="D884" s="130">
        <v>45.099997999999999</v>
      </c>
      <c r="E884" s="130">
        <v>0.59999849999999999</v>
      </c>
      <c r="F884" s="130">
        <v>8112.42</v>
      </c>
      <c r="G884" s="130">
        <v>6.88391E-2</v>
      </c>
      <c r="H884" s="16">
        <v>8600000</v>
      </c>
      <c r="I884">
        <v>1.3238E-2</v>
      </c>
    </row>
    <row r="885" spans="1:9" x14ac:dyDescent="0.25">
      <c r="A885" t="s">
        <v>422</v>
      </c>
      <c r="B885" t="s">
        <v>86</v>
      </c>
      <c r="C885">
        <v>2012</v>
      </c>
      <c r="D885" s="130">
        <v>43.599997999999999</v>
      </c>
      <c r="E885" s="130">
        <v>-1.5</v>
      </c>
      <c r="F885" s="130">
        <v>8862.16</v>
      </c>
      <c r="G885" s="130">
        <v>8.8394200000000006E-2</v>
      </c>
      <c r="H885" s="16">
        <v>8400000</v>
      </c>
      <c r="I885">
        <v>-3.3913699999999998E-2</v>
      </c>
    </row>
    <row r="886" spans="1:9" x14ac:dyDescent="0.25">
      <c r="A886" t="s">
        <v>422</v>
      </c>
      <c r="B886" t="s">
        <v>86</v>
      </c>
      <c r="C886">
        <v>2013</v>
      </c>
    </row>
    <row r="887" spans="1:9" x14ac:dyDescent="0.25">
      <c r="A887" t="s">
        <v>368</v>
      </c>
      <c r="B887" t="s">
        <v>124</v>
      </c>
      <c r="C887">
        <v>1998</v>
      </c>
      <c r="D887" s="130">
        <v>19.600000000000001</v>
      </c>
      <c r="F887" s="130">
        <v>11520.4</v>
      </c>
      <c r="H887" s="16">
        <v>1700000</v>
      </c>
    </row>
    <row r="888" spans="1:9" x14ac:dyDescent="0.25">
      <c r="A888" t="s">
        <v>368</v>
      </c>
      <c r="B888" t="s">
        <v>124</v>
      </c>
      <c r="C888">
        <v>1999</v>
      </c>
      <c r="D888" s="130">
        <v>20.5</v>
      </c>
      <c r="E888" s="130">
        <v>0.89999960000000001</v>
      </c>
      <c r="F888" s="130">
        <v>11477.9</v>
      </c>
      <c r="G888" s="130">
        <v>-3.6955E-3</v>
      </c>
      <c r="H888" s="16">
        <v>1700000</v>
      </c>
      <c r="I888">
        <v>3.0669999999999998E-3</v>
      </c>
    </row>
    <row r="889" spans="1:9" x14ac:dyDescent="0.25">
      <c r="A889" t="s">
        <v>368</v>
      </c>
      <c r="B889" t="s">
        <v>124</v>
      </c>
      <c r="C889">
        <v>2000</v>
      </c>
      <c r="D889" s="130">
        <v>19.700001</v>
      </c>
      <c r="E889" s="130">
        <v>-0.79999920000000002</v>
      </c>
      <c r="F889" s="130">
        <v>11934.7</v>
      </c>
      <c r="G889" s="130">
        <v>3.9024400000000001E-2</v>
      </c>
      <c r="H889" s="16">
        <v>1700000</v>
      </c>
      <c r="I889">
        <v>-1.7222899999999999E-2</v>
      </c>
    </row>
    <row r="890" spans="1:9" x14ac:dyDescent="0.25">
      <c r="A890" t="s">
        <v>368</v>
      </c>
      <c r="B890" t="s">
        <v>124</v>
      </c>
      <c r="C890">
        <v>2001</v>
      </c>
      <c r="D890" s="130">
        <v>20.200001</v>
      </c>
      <c r="E890" s="130">
        <v>0.5</v>
      </c>
      <c r="F890" s="130">
        <v>12844</v>
      </c>
      <c r="G890" s="130">
        <v>7.3425299999999999E-2</v>
      </c>
      <c r="H890" s="16">
        <v>1600000</v>
      </c>
      <c r="I890">
        <v>-2.2213299999999998E-2</v>
      </c>
    </row>
    <row r="891" spans="1:9" x14ac:dyDescent="0.25">
      <c r="A891" t="s">
        <v>368</v>
      </c>
      <c r="B891" t="s">
        <v>124</v>
      </c>
      <c r="C891">
        <v>2002</v>
      </c>
      <c r="D891" s="130">
        <v>20.799999</v>
      </c>
      <c r="E891" s="130">
        <v>0.59999849999999999</v>
      </c>
      <c r="F891" s="130">
        <v>13836.2</v>
      </c>
      <c r="G891" s="130">
        <v>7.4410400000000002E-2</v>
      </c>
      <c r="H891" s="16">
        <v>1600000</v>
      </c>
      <c r="I891">
        <v>-9.6437999999999992E-3</v>
      </c>
    </row>
    <row r="892" spans="1:9" x14ac:dyDescent="0.25">
      <c r="A892" t="s">
        <v>368</v>
      </c>
      <c r="B892" t="s">
        <v>124</v>
      </c>
      <c r="C892">
        <v>2003</v>
      </c>
      <c r="D892" s="130">
        <v>20.9</v>
      </c>
      <c r="E892" s="130">
        <v>0.1000004</v>
      </c>
      <c r="F892" s="130">
        <v>15378.3</v>
      </c>
      <c r="G892" s="130">
        <v>0.1056728</v>
      </c>
      <c r="H892" s="16">
        <v>1700000</v>
      </c>
      <c r="I892">
        <v>3.6494899999999997E-2</v>
      </c>
    </row>
    <row r="893" spans="1:9" x14ac:dyDescent="0.25">
      <c r="A893" t="s">
        <v>368</v>
      </c>
      <c r="B893" t="s">
        <v>124</v>
      </c>
      <c r="C893">
        <v>2004</v>
      </c>
      <c r="D893" s="130">
        <v>18.799999</v>
      </c>
      <c r="E893" s="130">
        <v>-2.1</v>
      </c>
      <c r="F893" s="130">
        <v>16695.2</v>
      </c>
      <c r="G893" s="130">
        <v>8.2161899999999996E-2</v>
      </c>
      <c r="H893" s="16">
        <v>1600000</v>
      </c>
      <c r="I893">
        <v>-4.8863799999999999E-2</v>
      </c>
    </row>
    <row r="894" spans="1:9" x14ac:dyDescent="0.25">
      <c r="A894" t="s">
        <v>368</v>
      </c>
      <c r="B894" t="s">
        <v>124</v>
      </c>
      <c r="C894">
        <v>2005</v>
      </c>
      <c r="D894" s="130">
        <v>16.899999999999999</v>
      </c>
      <c r="E894" s="130">
        <v>-1.9</v>
      </c>
      <c r="F894" s="130">
        <v>18293.3</v>
      </c>
      <c r="G894" s="130">
        <v>9.1411599999999996E-2</v>
      </c>
      <c r="H894" s="16">
        <v>1600000</v>
      </c>
      <c r="I894">
        <v>-2.4855700000000001E-2</v>
      </c>
    </row>
    <row r="895" spans="1:9" x14ac:dyDescent="0.25">
      <c r="A895" t="s">
        <v>368</v>
      </c>
      <c r="B895" t="s">
        <v>124</v>
      </c>
      <c r="C895">
        <v>2006</v>
      </c>
      <c r="D895" s="130">
        <v>15.7</v>
      </c>
      <c r="E895" s="130">
        <v>-1.2</v>
      </c>
      <c r="F895" s="130">
        <v>20045.8</v>
      </c>
      <c r="G895" s="130">
        <v>9.1486899999999996E-2</v>
      </c>
      <c r="H895" s="16">
        <v>1500000</v>
      </c>
      <c r="I895">
        <v>-1.73402E-2</v>
      </c>
    </row>
    <row r="896" spans="1:9" x14ac:dyDescent="0.25">
      <c r="A896" t="s">
        <v>368</v>
      </c>
      <c r="B896" t="s">
        <v>124</v>
      </c>
      <c r="C896">
        <v>2007</v>
      </c>
      <c r="D896" s="130">
        <v>13.7</v>
      </c>
      <c r="E896" s="130">
        <v>-2</v>
      </c>
      <c r="F896" s="130">
        <v>22281.4</v>
      </c>
      <c r="G896" s="130">
        <v>0.1057329</v>
      </c>
      <c r="H896" s="16">
        <v>1500000</v>
      </c>
      <c r="I896">
        <v>1.3561000000000001E-3</v>
      </c>
    </row>
    <row r="897" spans="1:9" x14ac:dyDescent="0.25">
      <c r="A897" t="s">
        <v>368</v>
      </c>
      <c r="B897" t="s">
        <v>124</v>
      </c>
      <c r="C897">
        <v>2008</v>
      </c>
      <c r="D897" s="130">
        <v>11.5</v>
      </c>
      <c r="E897" s="130">
        <v>-2.2000000000000002</v>
      </c>
      <c r="F897" s="130">
        <v>23170.799999999999</v>
      </c>
      <c r="G897" s="130">
        <v>3.9138800000000001E-2</v>
      </c>
      <c r="H897" s="16">
        <v>1500000</v>
      </c>
      <c r="I897">
        <v>1.7074E-3</v>
      </c>
    </row>
    <row r="898" spans="1:9" x14ac:dyDescent="0.25">
      <c r="A898" t="s">
        <v>368</v>
      </c>
      <c r="B898" t="s">
        <v>124</v>
      </c>
      <c r="C898">
        <v>2009</v>
      </c>
      <c r="D898" s="130">
        <v>12.1</v>
      </c>
      <c r="E898" s="130">
        <v>0.60000039999999999</v>
      </c>
      <c r="F898" s="130">
        <v>19975.599999999999</v>
      </c>
      <c r="G898" s="130">
        <v>-0.14838119999999999</v>
      </c>
      <c r="H898" s="16">
        <v>1600000</v>
      </c>
      <c r="I898">
        <v>1.10502E-2</v>
      </c>
    </row>
    <row r="899" spans="1:9" x14ac:dyDescent="0.25">
      <c r="A899" t="s">
        <v>368</v>
      </c>
      <c r="B899" t="s">
        <v>124</v>
      </c>
      <c r="C899">
        <v>2010</v>
      </c>
      <c r="D899" s="130">
        <v>11</v>
      </c>
      <c r="E899" s="130">
        <v>-1.1000000000000001</v>
      </c>
      <c r="F899" s="130">
        <v>20670.2</v>
      </c>
      <c r="G899" s="130">
        <v>3.4183499999999999E-2</v>
      </c>
      <c r="H899" s="16">
        <v>1500000</v>
      </c>
      <c r="I899">
        <v>-9.7126000000000001E-3</v>
      </c>
    </row>
    <row r="900" spans="1:9" x14ac:dyDescent="0.25">
      <c r="A900" t="s">
        <v>368</v>
      </c>
      <c r="B900" t="s">
        <v>124</v>
      </c>
      <c r="C900">
        <v>2011</v>
      </c>
      <c r="D900" s="130">
        <v>10.7</v>
      </c>
      <c r="E900" s="130">
        <v>-0.30000019999999999</v>
      </c>
      <c r="F900" s="130">
        <v>22410.9</v>
      </c>
      <c r="G900" s="130">
        <v>8.0853499999999995E-2</v>
      </c>
      <c r="H900" s="16">
        <v>1500000</v>
      </c>
      <c r="I900">
        <v>-2.7436000000000001E-3</v>
      </c>
    </row>
    <row r="901" spans="1:9" x14ac:dyDescent="0.25">
      <c r="A901" t="s">
        <v>368</v>
      </c>
      <c r="B901" t="s">
        <v>124</v>
      </c>
      <c r="C901">
        <v>2012</v>
      </c>
      <c r="D901" s="130">
        <v>11.1</v>
      </c>
      <c r="E901" s="130">
        <v>0.40000059999999998</v>
      </c>
      <c r="F901" s="130">
        <v>23553.9</v>
      </c>
      <c r="G901" s="130">
        <v>4.9743700000000002E-2</v>
      </c>
      <c r="H901" s="16">
        <v>1500000</v>
      </c>
      <c r="I901">
        <v>-1.4251000000000001E-3</v>
      </c>
    </row>
    <row r="902" spans="1:9" x14ac:dyDescent="0.25">
      <c r="A902" t="s">
        <v>368</v>
      </c>
      <c r="B902" t="s">
        <v>124</v>
      </c>
      <c r="C902">
        <v>2013</v>
      </c>
    </row>
    <row r="903" spans="1:9" x14ac:dyDescent="0.25">
      <c r="A903" t="s">
        <v>369</v>
      </c>
      <c r="B903" t="s">
        <v>180</v>
      </c>
      <c r="C903">
        <v>1990</v>
      </c>
      <c r="D903" s="130">
        <v>11</v>
      </c>
      <c r="F903" s="130">
        <v>56200.9</v>
      </c>
      <c r="H903">
        <v>159999</v>
      </c>
    </row>
    <row r="904" spans="1:9" x14ac:dyDescent="0.25">
      <c r="A904" t="s">
        <v>369</v>
      </c>
      <c r="B904" t="s">
        <v>180</v>
      </c>
      <c r="C904">
        <v>1991</v>
      </c>
      <c r="D904" s="130">
        <v>10.8</v>
      </c>
      <c r="E904" s="130">
        <v>-0.19999980000000001</v>
      </c>
      <c r="F904" s="130">
        <v>60246.5</v>
      </c>
      <c r="G904" s="130">
        <v>6.9510500000000003E-2</v>
      </c>
      <c r="H904">
        <v>165615</v>
      </c>
      <c r="I904">
        <v>3.5103000000000002E-2</v>
      </c>
    </row>
    <row r="905" spans="1:9" x14ac:dyDescent="0.25">
      <c r="A905" t="s">
        <v>369</v>
      </c>
      <c r="B905" t="s">
        <v>180</v>
      </c>
      <c r="C905">
        <v>1992</v>
      </c>
      <c r="D905" s="130">
        <v>10.199999999999999</v>
      </c>
      <c r="E905" s="130">
        <v>-0.60000039999999999</v>
      </c>
      <c r="F905" s="130">
        <v>60533.3</v>
      </c>
      <c r="G905" s="130">
        <v>4.7502999999999998E-3</v>
      </c>
      <c r="H905">
        <v>169953</v>
      </c>
      <c r="I905">
        <v>2.7114599999999999E-2</v>
      </c>
    </row>
    <row r="906" spans="1:9" x14ac:dyDescent="0.25">
      <c r="A906" t="s">
        <v>369</v>
      </c>
      <c r="B906" t="s">
        <v>180</v>
      </c>
      <c r="C906">
        <v>1993</v>
      </c>
      <c r="D906" s="130">
        <v>11.1</v>
      </c>
      <c r="E906" s="130">
        <v>0.90000060000000004</v>
      </c>
      <c r="F906" s="130">
        <v>62235</v>
      </c>
      <c r="G906" s="130">
        <v>2.77243E-2</v>
      </c>
      <c r="H906">
        <v>170128</v>
      </c>
      <c r="I906">
        <v>1.0896E-3</v>
      </c>
    </row>
    <row r="907" spans="1:9" x14ac:dyDescent="0.25">
      <c r="A907" t="s">
        <v>369</v>
      </c>
      <c r="B907" t="s">
        <v>180</v>
      </c>
      <c r="C907">
        <v>1994</v>
      </c>
      <c r="D907" s="130">
        <v>10.9</v>
      </c>
      <c r="E907" s="130">
        <v>-0.20000080000000001</v>
      </c>
      <c r="F907" s="130">
        <v>63739</v>
      </c>
      <c r="G907" s="130">
        <v>2.3878099999999999E-2</v>
      </c>
      <c r="H907">
        <v>171655</v>
      </c>
      <c r="I907">
        <v>9.5457000000000007E-3</v>
      </c>
    </row>
    <row r="908" spans="1:9" x14ac:dyDescent="0.25">
      <c r="A908" t="s">
        <v>369</v>
      </c>
      <c r="B908" t="s">
        <v>180</v>
      </c>
      <c r="C908">
        <v>1995</v>
      </c>
      <c r="D908" s="130">
        <v>11.3</v>
      </c>
      <c r="E908" s="130">
        <v>0.40000059999999998</v>
      </c>
      <c r="F908" s="130">
        <v>63750</v>
      </c>
      <c r="G908" s="130">
        <v>1.7359999999999999E-4</v>
      </c>
      <c r="H908">
        <v>167651</v>
      </c>
      <c r="I908">
        <v>-2.5022099999999999E-2</v>
      </c>
    </row>
    <row r="909" spans="1:9" x14ac:dyDescent="0.25">
      <c r="A909" t="s">
        <v>369</v>
      </c>
      <c r="B909" t="s">
        <v>180</v>
      </c>
      <c r="C909">
        <v>1996</v>
      </c>
      <c r="D909" s="130">
        <v>9.8000001999999995</v>
      </c>
      <c r="E909" s="130">
        <v>-1.5</v>
      </c>
      <c r="F909" s="130">
        <v>63841</v>
      </c>
      <c r="G909" s="130">
        <v>1.4266999999999999E-3</v>
      </c>
      <c r="H909">
        <v>171620</v>
      </c>
      <c r="I909">
        <v>2.4801E-2</v>
      </c>
    </row>
    <row r="910" spans="1:9" x14ac:dyDescent="0.25">
      <c r="A910" t="s">
        <v>369</v>
      </c>
      <c r="B910" t="s">
        <v>180</v>
      </c>
      <c r="C910">
        <v>1997</v>
      </c>
      <c r="D910" s="130">
        <v>9.1999998000000005</v>
      </c>
      <c r="E910" s="130">
        <v>-0.60000039999999999</v>
      </c>
      <c r="F910" s="130">
        <v>66789.3</v>
      </c>
      <c r="G910" s="130">
        <v>4.5145999999999999E-2</v>
      </c>
      <c r="H910">
        <v>174176</v>
      </c>
      <c r="I910">
        <v>1.5980500000000002E-2</v>
      </c>
    </row>
    <row r="911" spans="1:9" x14ac:dyDescent="0.25">
      <c r="A911" t="s">
        <v>369</v>
      </c>
      <c r="B911" t="s">
        <v>180</v>
      </c>
      <c r="C911">
        <v>1998</v>
      </c>
      <c r="D911" s="130">
        <v>9.3999995999999992</v>
      </c>
      <c r="E911" s="130">
        <v>0.19999980000000001</v>
      </c>
      <c r="F911" s="130">
        <v>70245.600000000006</v>
      </c>
      <c r="G911" s="130">
        <v>5.0455100000000003E-2</v>
      </c>
      <c r="H911">
        <v>176826</v>
      </c>
      <c r="I911">
        <v>1.65633E-2</v>
      </c>
    </row>
    <row r="912" spans="1:9" x14ac:dyDescent="0.25">
      <c r="A912" t="s">
        <v>369</v>
      </c>
      <c r="B912" t="s">
        <v>180</v>
      </c>
      <c r="C912">
        <v>1999</v>
      </c>
      <c r="D912" s="130">
        <v>9.1999998000000005</v>
      </c>
      <c r="E912" s="130">
        <v>-0.19999980000000001</v>
      </c>
      <c r="F912" s="130">
        <v>75138.8</v>
      </c>
      <c r="G912" s="130">
        <v>6.7338899999999993E-2</v>
      </c>
      <c r="H912">
        <v>181873</v>
      </c>
      <c r="I912">
        <v>3.1539600000000001E-2</v>
      </c>
    </row>
    <row r="913" spans="1:9" x14ac:dyDescent="0.25">
      <c r="A913" t="s">
        <v>369</v>
      </c>
      <c r="B913" t="s">
        <v>180</v>
      </c>
      <c r="C913">
        <v>2000</v>
      </c>
      <c r="D913" s="130">
        <v>9.3999995999999992</v>
      </c>
      <c r="E913" s="130">
        <v>0.19999980000000001</v>
      </c>
      <c r="F913" s="130">
        <v>80394</v>
      </c>
      <c r="G913" s="130">
        <v>6.7603099999999999E-2</v>
      </c>
      <c r="H913">
        <v>188849</v>
      </c>
      <c r="I913">
        <v>4.3599100000000002E-2</v>
      </c>
    </row>
    <row r="914" spans="1:9" x14ac:dyDescent="0.25">
      <c r="A914" t="s">
        <v>369</v>
      </c>
      <c r="B914" t="s">
        <v>180</v>
      </c>
      <c r="C914">
        <v>2001</v>
      </c>
      <c r="D914" s="130">
        <v>7.3000002000000004</v>
      </c>
      <c r="E914" s="130">
        <v>-2.0999989999999999</v>
      </c>
      <c r="F914" s="130">
        <v>81442.899999999994</v>
      </c>
      <c r="G914" s="130">
        <v>1.29623E-2</v>
      </c>
      <c r="H914">
        <v>188947</v>
      </c>
      <c r="I914">
        <v>6.179E-4</v>
      </c>
    </row>
    <row r="915" spans="1:9" x14ac:dyDescent="0.25">
      <c r="A915" t="s">
        <v>369</v>
      </c>
      <c r="B915" t="s">
        <v>180</v>
      </c>
      <c r="C915">
        <v>2002</v>
      </c>
      <c r="D915" s="130">
        <v>7.9000000999999997</v>
      </c>
      <c r="E915" s="130">
        <v>0.59999990000000003</v>
      </c>
      <c r="F915" s="130">
        <v>83890.5</v>
      </c>
      <c r="G915" s="130">
        <v>2.9610600000000001E-2</v>
      </c>
      <c r="H915">
        <v>194612</v>
      </c>
      <c r="I915">
        <v>3.5402700000000002E-2</v>
      </c>
    </row>
    <row r="916" spans="1:9" x14ac:dyDescent="0.25">
      <c r="A916" t="s">
        <v>369</v>
      </c>
      <c r="B916" t="s">
        <v>180</v>
      </c>
      <c r="C916">
        <v>2003</v>
      </c>
      <c r="D916" s="130">
        <v>7.6999997999999996</v>
      </c>
      <c r="E916" s="130">
        <v>-0.20000029999999999</v>
      </c>
      <c r="F916" s="130">
        <v>84257.600000000006</v>
      </c>
      <c r="G916" s="130">
        <v>4.3658999999999998E-3</v>
      </c>
      <c r="H916">
        <v>194570</v>
      </c>
      <c r="I916">
        <v>-2.6400000000000002E-4</v>
      </c>
    </row>
    <row r="917" spans="1:9" x14ac:dyDescent="0.25">
      <c r="A917" t="s">
        <v>369</v>
      </c>
      <c r="B917" t="s">
        <v>180</v>
      </c>
      <c r="C917">
        <v>2004</v>
      </c>
      <c r="D917" s="130">
        <v>8.1999998000000005</v>
      </c>
      <c r="E917" s="130">
        <v>0.5</v>
      </c>
      <c r="F917" s="130">
        <v>86699.1</v>
      </c>
      <c r="G917" s="130">
        <v>2.85645E-2</v>
      </c>
      <c r="H917">
        <v>200951</v>
      </c>
      <c r="I917">
        <v>3.9886100000000001E-2</v>
      </c>
    </row>
    <row r="918" spans="1:9" x14ac:dyDescent="0.25">
      <c r="A918" t="s">
        <v>369</v>
      </c>
      <c r="B918" t="s">
        <v>180</v>
      </c>
      <c r="C918">
        <v>2005</v>
      </c>
      <c r="D918" s="130">
        <v>8</v>
      </c>
      <c r="E918" s="130">
        <v>-0.19999980000000001</v>
      </c>
      <c r="F918" s="130">
        <v>89867.8</v>
      </c>
      <c r="G918" s="130">
        <v>3.5896299999999999E-2</v>
      </c>
      <c r="H918">
        <v>207436</v>
      </c>
      <c r="I918">
        <v>4.0530299999999998E-2</v>
      </c>
    </row>
    <row r="919" spans="1:9" x14ac:dyDescent="0.25">
      <c r="A919" t="s">
        <v>369</v>
      </c>
      <c r="B919" t="s">
        <v>180</v>
      </c>
      <c r="C919">
        <v>2006</v>
      </c>
      <c r="D919" s="130">
        <v>7.6999997999999996</v>
      </c>
      <c r="E919" s="130">
        <v>-0.30000019999999999</v>
      </c>
      <c r="F919" s="130">
        <v>92811.4</v>
      </c>
      <c r="G919" s="130">
        <v>3.2229399999999998E-2</v>
      </c>
      <c r="H919">
        <v>213563</v>
      </c>
      <c r="I919">
        <v>3.8290999999999999E-2</v>
      </c>
    </row>
    <row r="920" spans="1:9" x14ac:dyDescent="0.25">
      <c r="A920" t="s">
        <v>369</v>
      </c>
      <c r="B920" t="s">
        <v>180</v>
      </c>
      <c r="C920">
        <v>2007</v>
      </c>
      <c r="D920" s="130">
        <v>7</v>
      </c>
      <c r="E920" s="130">
        <v>-0.69999979999999995</v>
      </c>
      <c r="F920" s="130">
        <v>97409.8</v>
      </c>
      <c r="G920" s="130">
        <v>4.8357999999999998E-2</v>
      </c>
      <c r="H920">
        <v>216282</v>
      </c>
      <c r="I920">
        <v>1.6995400000000001E-2</v>
      </c>
    </row>
    <row r="921" spans="1:9" x14ac:dyDescent="0.25">
      <c r="A921" t="s">
        <v>369</v>
      </c>
      <c r="B921" t="s">
        <v>180</v>
      </c>
      <c r="C921">
        <v>2008</v>
      </c>
      <c r="D921" s="130">
        <v>6.3000002000000004</v>
      </c>
      <c r="E921" s="130">
        <v>-0.69999979999999995</v>
      </c>
      <c r="F921" s="130">
        <v>94981.2</v>
      </c>
      <c r="G921" s="130">
        <v>-2.52485E-2</v>
      </c>
      <c r="H921">
        <v>221180</v>
      </c>
      <c r="I921">
        <v>3.06126E-2</v>
      </c>
    </row>
    <row r="922" spans="1:9" x14ac:dyDescent="0.25">
      <c r="A922" t="s">
        <v>369</v>
      </c>
      <c r="B922" t="s">
        <v>180</v>
      </c>
      <c r="C922">
        <v>2009</v>
      </c>
      <c r="D922" s="130">
        <v>8.6999998000000005</v>
      </c>
      <c r="E922" s="130">
        <v>2.4</v>
      </c>
      <c r="F922" s="130">
        <v>88058</v>
      </c>
      <c r="G922" s="130">
        <v>-7.5682600000000003E-2</v>
      </c>
      <c r="H922">
        <v>234862</v>
      </c>
      <c r="I922">
        <v>8.5517300000000004E-2</v>
      </c>
    </row>
    <row r="923" spans="1:9" x14ac:dyDescent="0.25">
      <c r="A923" t="s">
        <v>369</v>
      </c>
      <c r="B923" t="s">
        <v>180</v>
      </c>
      <c r="C923">
        <v>2010</v>
      </c>
      <c r="D923" s="130">
        <v>8.1999998000000005</v>
      </c>
      <c r="E923" s="130">
        <v>-0.5</v>
      </c>
      <c r="F923" s="130">
        <v>89146.8</v>
      </c>
      <c r="G923" s="130">
        <v>1.2289E-2</v>
      </c>
      <c r="H923">
        <v>237978</v>
      </c>
      <c r="I923">
        <v>1.9475099999999999E-2</v>
      </c>
    </row>
    <row r="924" spans="1:9" x14ac:dyDescent="0.25">
      <c r="A924" t="s">
        <v>369</v>
      </c>
      <c r="B924" t="s">
        <v>180</v>
      </c>
      <c r="C924">
        <v>2011</v>
      </c>
      <c r="D924" s="130">
        <v>8.6000004000000008</v>
      </c>
      <c r="E924" s="130">
        <v>0.40000059999999998</v>
      </c>
      <c r="F924" s="130">
        <v>88848.1</v>
      </c>
      <c r="G924" s="130">
        <v>-3.356E-3</v>
      </c>
      <c r="H924">
        <v>242808</v>
      </c>
      <c r="I924">
        <v>3.0182E-2</v>
      </c>
    </row>
    <row r="925" spans="1:9" x14ac:dyDescent="0.25">
      <c r="A925" t="s">
        <v>369</v>
      </c>
      <c r="B925" t="s">
        <v>180</v>
      </c>
      <c r="C925">
        <v>2012</v>
      </c>
      <c r="D925" s="130">
        <v>8.8999995999999992</v>
      </c>
      <c r="E925" s="130">
        <v>0.29999920000000002</v>
      </c>
      <c r="F925" s="130">
        <v>86587.4</v>
      </c>
      <c r="G925" s="130">
        <v>-2.5773999999999998E-2</v>
      </c>
      <c r="H925">
        <v>252880</v>
      </c>
      <c r="I925">
        <v>6.2954099999999999E-2</v>
      </c>
    </row>
    <row r="926" spans="1:9" x14ac:dyDescent="0.25">
      <c r="A926" t="s">
        <v>369</v>
      </c>
      <c r="B926" t="s">
        <v>180</v>
      </c>
      <c r="C926">
        <v>2013</v>
      </c>
    </row>
    <row r="927" spans="1:9" x14ac:dyDescent="0.25">
      <c r="A927" t="s">
        <v>363</v>
      </c>
      <c r="B927" t="s">
        <v>125</v>
      </c>
      <c r="C927">
        <v>1996</v>
      </c>
      <c r="D927" s="130">
        <v>14.6</v>
      </c>
      <c r="F927" s="130">
        <v>8742.74</v>
      </c>
      <c r="H927" s="16">
        <v>1200000</v>
      </c>
    </row>
    <row r="928" spans="1:9" x14ac:dyDescent="0.25">
      <c r="A928" t="s">
        <v>363</v>
      </c>
      <c r="B928" t="s">
        <v>125</v>
      </c>
      <c r="C928">
        <v>1997</v>
      </c>
      <c r="D928" s="130">
        <v>19.399999999999999</v>
      </c>
      <c r="E928" s="130">
        <v>4.7999989999999997</v>
      </c>
      <c r="F928" s="130">
        <v>9561.7099999999991</v>
      </c>
      <c r="G928" s="130">
        <v>8.9544299999999993E-2</v>
      </c>
      <c r="H928" s="16">
        <v>1200000</v>
      </c>
      <c r="I928">
        <v>-5.2148000000000003E-3</v>
      </c>
    </row>
    <row r="929" spans="1:9" x14ac:dyDescent="0.25">
      <c r="A929" t="s">
        <v>363</v>
      </c>
      <c r="B929" t="s">
        <v>125</v>
      </c>
      <c r="C929">
        <v>1998</v>
      </c>
      <c r="D929" s="130">
        <v>17.299999</v>
      </c>
      <c r="E929" s="130">
        <v>-2.1</v>
      </c>
      <c r="F929" s="130">
        <v>10108.200000000001</v>
      </c>
      <c r="G929" s="130">
        <v>5.5575399999999997E-2</v>
      </c>
      <c r="H929" s="16">
        <v>1100000</v>
      </c>
      <c r="I929">
        <v>-5.5050000000000003E-3</v>
      </c>
    </row>
    <row r="930" spans="1:9" x14ac:dyDescent="0.25">
      <c r="A930" t="s">
        <v>363</v>
      </c>
      <c r="B930" t="s">
        <v>125</v>
      </c>
      <c r="C930">
        <v>1999</v>
      </c>
      <c r="D930" s="130">
        <v>16.899999999999999</v>
      </c>
      <c r="E930" s="130">
        <v>-0.39999960000000001</v>
      </c>
      <c r="F930" s="130">
        <v>10669.6</v>
      </c>
      <c r="G930" s="130">
        <v>5.4059999999999997E-2</v>
      </c>
      <c r="H930" s="16">
        <v>1100000</v>
      </c>
      <c r="I930">
        <v>-2.21961E-2</v>
      </c>
    </row>
    <row r="931" spans="1:9" x14ac:dyDescent="0.25">
      <c r="A931" t="s">
        <v>363</v>
      </c>
      <c r="B931" t="s">
        <v>125</v>
      </c>
      <c r="C931">
        <v>2000</v>
      </c>
      <c r="D931" s="130">
        <v>14.9</v>
      </c>
      <c r="E931" s="130">
        <v>-2</v>
      </c>
      <c r="F931" s="130">
        <v>11517.8</v>
      </c>
      <c r="G931" s="130">
        <v>7.64933E-2</v>
      </c>
      <c r="H931" s="16">
        <v>1100000</v>
      </c>
      <c r="I931">
        <v>-2.6752499999999999E-2</v>
      </c>
    </row>
    <row r="932" spans="1:9" x14ac:dyDescent="0.25">
      <c r="A932" t="s">
        <v>363</v>
      </c>
      <c r="B932" t="s">
        <v>125</v>
      </c>
      <c r="C932">
        <v>2001</v>
      </c>
      <c r="D932" s="130">
        <v>15</v>
      </c>
      <c r="E932" s="130">
        <v>0.1000004</v>
      </c>
      <c r="F932" s="130">
        <v>12606</v>
      </c>
      <c r="G932" s="130">
        <v>9.0278600000000001E-2</v>
      </c>
      <c r="H932" s="16">
        <v>1100000</v>
      </c>
      <c r="I932">
        <v>5.5399999999999998E-3</v>
      </c>
    </row>
    <row r="933" spans="1:9" x14ac:dyDescent="0.25">
      <c r="A933" t="s">
        <v>363</v>
      </c>
      <c r="B933" t="s">
        <v>125</v>
      </c>
      <c r="C933">
        <v>2002</v>
      </c>
      <c r="D933" s="130">
        <v>13.2</v>
      </c>
      <c r="E933" s="130">
        <v>-1.8</v>
      </c>
      <c r="F933" s="130">
        <v>13578.8</v>
      </c>
      <c r="G933" s="130">
        <v>7.4335100000000001E-2</v>
      </c>
      <c r="H933" s="16">
        <v>1100000</v>
      </c>
      <c r="I933">
        <v>2.8377699999999999E-2</v>
      </c>
    </row>
    <row r="934" spans="1:9" x14ac:dyDescent="0.25">
      <c r="A934" t="s">
        <v>363</v>
      </c>
      <c r="B934" t="s">
        <v>125</v>
      </c>
      <c r="C934">
        <v>2003</v>
      </c>
      <c r="D934" s="130">
        <v>13.6</v>
      </c>
      <c r="E934" s="130">
        <v>0.40000059999999998</v>
      </c>
      <c r="F934" s="130">
        <v>14697.3</v>
      </c>
      <c r="G934" s="130">
        <v>7.9152100000000003E-2</v>
      </c>
      <c r="H934" s="16">
        <v>1100000</v>
      </c>
      <c r="I934">
        <v>-1.6689800000000001E-2</v>
      </c>
    </row>
    <row r="935" spans="1:9" x14ac:dyDescent="0.25">
      <c r="A935" t="s">
        <v>363</v>
      </c>
      <c r="B935" t="s">
        <v>125</v>
      </c>
      <c r="C935">
        <v>2004</v>
      </c>
      <c r="D935" s="130">
        <v>13.7</v>
      </c>
      <c r="E935" s="130">
        <v>9.9999400000000002E-2</v>
      </c>
      <c r="F935" s="130">
        <v>16147.9</v>
      </c>
      <c r="G935" s="130">
        <v>9.4130500000000006E-2</v>
      </c>
      <c r="H935" s="16">
        <v>1100000</v>
      </c>
      <c r="I935">
        <v>-4.7330000000000001E-4</v>
      </c>
    </row>
    <row r="936" spans="1:9" x14ac:dyDescent="0.25">
      <c r="A936" t="s">
        <v>363</v>
      </c>
      <c r="B936" t="s">
        <v>125</v>
      </c>
      <c r="C936">
        <v>2005</v>
      </c>
      <c r="D936" s="130">
        <v>11.5</v>
      </c>
      <c r="E936" s="130">
        <v>-2.2000000000000002</v>
      </c>
      <c r="F936" s="130">
        <v>18053.8</v>
      </c>
      <c r="G936" s="130">
        <v>0.1115637</v>
      </c>
      <c r="H936" s="16">
        <v>1100000</v>
      </c>
      <c r="I936">
        <v>-6.5681999999999997E-3</v>
      </c>
    </row>
    <row r="937" spans="1:9" x14ac:dyDescent="0.25">
      <c r="A937" t="s">
        <v>363</v>
      </c>
      <c r="B937" t="s">
        <v>125</v>
      </c>
      <c r="C937">
        <v>2006</v>
      </c>
      <c r="D937" s="130">
        <v>11.6</v>
      </c>
      <c r="E937" s="130">
        <v>0.1000004</v>
      </c>
      <c r="F937" s="130">
        <v>20449.099999999999</v>
      </c>
      <c r="G937" s="130">
        <v>0.12458130000000001</v>
      </c>
      <c r="H937" s="16">
        <v>1100000</v>
      </c>
      <c r="I937">
        <v>2.1404599999999999E-2</v>
      </c>
    </row>
    <row r="938" spans="1:9" x14ac:dyDescent="0.25">
      <c r="A938" t="s">
        <v>363</v>
      </c>
      <c r="B938" t="s">
        <v>125</v>
      </c>
      <c r="C938">
        <v>2007</v>
      </c>
      <c r="D938" s="130">
        <v>10.8</v>
      </c>
      <c r="E938" s="130">
        <v>-0.80000020000000005</v>
      </c>
      <c r="F938" s="130">
        <v>22673.7</v>
      </c>
      <c r="G938" s="130">
        <v>0.1032686</v>
      </c>
      <c r="H938" s="16">
        <v>1100000</v>
      </c>
      <c r="I938">
        <v>1.41922E-2</v>
      </c>
    </row>
    <row r="939" spans="1:9" x14ac:dyDescent="0.25">
      <c r="A939" t="s">
        <v>363</v>
      </c>
      <c r="B939" t="s">
        <v>125</v>
      </c>
      <c r="C939">
        <v>2008</v>
      </c>
      <c r="D939" s="130">
        <v>10.1</v>
      </c>
      <c r="E939" s="130">
        <v>-0.69999979999999995</v>
      </c>
      <c r="F939" s="130">
        <v>21940.9</v>
      </c>
      <c r="G939" s="130">
        <v>-3.2853100000000003E-2</v>
      </c>
      <c r="H939" s="16">
        <v>1200000</v>
      </c>
      <c r="I939">
        <v>1.1878400000000001E-2</v>
      </c>
    </row>
    <row r="940" spans="1:9" x14ac:dyDescent="0.25">
      <c r="A940" t="s">
        <v>363</v>
      </c>
      <c r="B940" t="s">
        <v>125</v>
      </c>
      <c r="C940">
        <v>2009</v>
      </c>
      <c r="D940" s="130">
        <v>11.4</v>
      </c>
      <c r="E940" s="130">
        <v>1.2999989999999999</v>
      </c>
      <c r="F940" s="130">
        <v>18301.099999999999</v>
      </c>
      <c r="G940" s="130">
        <v>-0.18139169999999999</v>
      </c>
      <c r="H940" s="16">
        <v>1100000</v>
      </c>
      <c r="I940">
        <v>-3.6895499999999998E-2</v>
      </c>
    </row>
    <row r="941" spans="1:9" x14ac:dyDescent="0.25">
      <c r="A941" t="s">
        <v>363</v>
      </c>
      <c r="B941" t="s">
        <v>125</v>
      </c>
      <c r="C941">
        <v>2010</v>
      </c>
      <c r="D941" s="130">
        <v>11.4</v>
      </c>
      <c r="E941" s="130">
        <v>0</v>
      </c>
      <c r="F941" s="130">
        <v>18621.8</v>
      </c>
      <c r="G941" s="130">
        <v>1.7372100000000001E-2</v>
      </c>
      <c r="H941" s="16">
        <v>1100000</v>
      </c>
      <c r="I941">
        <v>-4.5509599999999997E-2</v>
      </c>
    </row>
    <row r="942" spans="1:9" x14ac:dyDescent="0.25">
      <c r="A942" t="s">
        <v>363</v>
      </c>
      <c r="B942" t="s">
        <v>125</v>
      </c>
      <c r="C942">
        <v>2011</v>
      </c>
      <c r="D942" s="130">
        <v>11.3</v>
      </c>
      <c r="E942" s="130">
        <v>-9.9999400000000002E-2</v>
      </c>
      <c r="F942" s="130">
        <v>19969.099999999999</v>
      </c>
      <c r="G942" s="130">
        <v>6.9850899999999994E-2</v>
      </c>
      <c r="H942" s="16">
        <v>1000000</v>
      </c>
      <c r="I942">
        <v>-2.1307799999999998E-2</v>
      </c>
    </row>
    <row r="943" spans="1:9" x14ac:dyDescent="0.25">
      <c r="A943" t="s">
        <v>363</v>
      </c>
      <c r="B943" t="s">
        <v>125</v>
      </c>
      <c r="C943">
        <v>2012</v>
      </c>
      <c r="D943" s="130">
        <v>11.4</v>
      </c>
      <c r="E943" s="130">
        <v>9.9999400000000002E-2</v>
      </c>
      <c r="F943" s="130">
        <v>21229.200000000001</v>
      </c>
      <c r="G943" s="130">
        <v>6.1193499999999998E-2</v>
      </c>
      <c r="H943" s="16">
        <v>1000000</v>
      </c>
      <c r="I943">
        <v>7.3781999999999997E-3</v>
      </c>
    </row>
    <row r="944" spans="1:9" x14ac:dyDescent="0.25">
      <c r="A944" t="s">
        <v>363</v>
      </c>
      <c r="B944" t="s">
        <v>125</v>
      </c>
      <c r="C944">
        <v>2013</v>
      </c>
    </row>
    <row r="945" spans="1:9" x14ac:dyDescent="0.25">
      <c r="A945" t="s">
        <v>370</v>
      </c>
      <c r="B945" t="s">
        <v>612</v>
      </c>
      <c r="C945">
        <v>1996</v>
      </c>
      <c r="D945" s="130">
        <v>10.7</v>
      </c>
      <c r="F945" s="130">
        <v>43552</v>
      </c>
      <c r="H945">
        <v>204134</v>
      </c>
    </row>
    <row r="946" spans="1:9" x14ac:dyDescent="0.25">
      <c r="A946" t="s">
        <v>370</v>
      </c>
      <c r="B946" t="s">
        <v>612</v>
      </c>
      <c r="C946">
        <v>1997</v>
      </c>
      <c r="D946" s="130">
        <v>9.6999998000000005</v>
      </c>
      <c r="E946" s="130">
        <v>-1</v>
      </c>
      <c r="F946" s="130">
        <v>42704.800000000003</v>
      </c>
      <c r="G946" s="130">
        <v>-1.9645699999999999E-2</v>
      </c>
      <c r="H946">
        <v>206266</v>
      </c>
      <c r="I946">
        <v>1.04452E-2</v>
      </c>
    </row>
    <row r="947" spans="1:9" x14ac:dyDescent="0.25">
      <c r="A947" t="s">
        <v>370</v>
      </c>
      <c r="B947" t="s">
        <v>612</v>
      </c>
      <c r="C947">
        <v>1998</v>
      </c>
      <c r="D947" s="130">
        <v>9.6999998000000005</v>
      </c>
      <c r="E947" s="130">
        <v>0</v>
      </c>
      <c r="F947" s="130">
        <v>40080.9</v>
      </c>
      <c r="G947" s="130">
        <v>-6.3410800000000003E-2</v>
      </c>
      <c r="H947">
        <v>209657</v>
      </c>
      <c r="I947">
        <v>1.6611500000000001E-2</v>
      </c>
    </row>
    <row r="948" spans="1:9" x14ac:dyDescent="0.25">
      <c r="A948" t="s">
        <v>370</v>
      </c>
      <c r="B948" t="s">
        <v>612</v>
      </c>
      <c r="C948">
        <v>1999</v>
      </c>
      <c r="D948" s="130">
        <v>10.9</v>
      </c>
      <c r="E948" s="130">
        <v>1.2</v>
      </c>
      <c r="F948" s="130">
        <v>38508.6</v>
      </c>
      <c r="G948" s="130">
        <v>-4.0018100000000001E-2</v>
      </c>
      <c r="H948">
        <v>213020</v>
      </c>
      <c r="I948">
        <v>1.64739E-2</v>
      </c>
    </row>
    <row r="949" spans="1:9" x14ac:dyDescent="0.25">
      <c r="A949" t="s">
        <v>370</v>
      </c>
      <c r="B949" t="s">
        <v>612</v>
      </c>
      <c r="C949">
        <v>2000</v>
      </c>
      <c r="D949" s="130">
        <v>11.8</v>
      </c>
      <c r="E949" s="130">
        <v>0.90000060000000004</v>
      </c>
      <c r="F949" s="130">
        <v>40094.9</v>
      </c>
      <c r="G949" s="130">
        <v>4.0367100000000003E-2</v>
      </c>
      <c r="H949">
        <v>216635</v>
      </c>
      <c r="I949">
        <v>1.7705700000000001E-2</v>
      </c>
    </row>
    <row r="950" spans="1:9" x14ac:dyDescent="0.25">
      <c r="A950" t="s">
        <v>370</v>
      </c>
      <c r="B950" t="s">
        <v>612</v>
      </c>
      <c r="C950">
        <v>2001</v>
      </c>
      <c r="D950" s="130">
        <v>10.7</v>
      </c>
      <c r="E950" s="130">
        <v>-1.1000000000000001</v>
      </c>
      <c r="F950" s="130">
        <v>40676.300000000003</v>
      </c>
      <c r="G950" s="130">
        <v>1.43967E-2</v>
      </c>
      <c r="H950">
        <v>227948</v>
      </c>
      <c r="I950">
        <v>5.5420499999999998E-2</v>
      </c>
    </row>
    <row r="951" spans="1:9" x14ac:dyDescent="0.25">
      <c r="A951" t="s">
        <v>370</v>
      </c>
      <c r="B951" t="s">
        <v>612</v>
      </c>
      <c r="C951">
        <v>2002</v>
      </c>
      <c r="D951" s="130">
        <v>10.5</v>
      </c>
      <c r="E951" s="130">
        <v>-0.19999980000000001</v>
      </c>
      <c r="F951" s="130">
        <v>43692.4</v>
      </c>
      <c r="G951" s="130">
        <v>7.1530300000000005E-2</v>
      </c>
      <c r="H951">
        <v>227935</v>
      </c>
      <c r="I951">
        <v>-6.4399999999999993E-5</v>
      </c>
    </row>
    <row r="952" spans="1:9" x14ac:dyDescent="0.25">
      <c r="A952" t="s">
        <v>370</v>
      </c>
      <c r="B952" t="s">
        <v>612</v>
      </c>
      <c r="C952">
        <v>2003</v>
      </c>
      <c r="D952" s="130">
        <v>10.9</v>
      </c>
      <c r="E952" s="130">
        <v>0.39999960000000001</v>
      </c>
      <c r="F952" s="130">
        <v>48475.5</v>
      </c>
      <c r="G952" s="130">
        <v>0.1038828</v>
      </c>
      <c r="H952">
        <v>230301</v>
      </c>
      <c r="I952">
        <v>1.15905E-2</v>
      </c>
    </row>
    <row r="953" spans="1:9" x14ac:dyDescent="0.25">
      <c r="A953" t="s">
        <v>370</v>
      </c>
      <c r="B953" t="s">
        <v>612</v>
      </c>
      <c r="C953">
        <v>2004</v>
      </c>
      <c r="D953" s="130">
        <v>11.6</v>
      </c>
      <c r="E953" s="130">
        <v>0.70000079999999998</v>
      </c>
      <c r="F953" s="130">
        <v>60456.2</v>
      </c>
      <c r="G953" s="130">
        <v>0.22086049999999999</v>
      </c>
      <c r="H953">
        <v>242614</v>
      </c>
      <c r="I953">
        <v>6.0321600000000003E-2</v>
      </c>
    </row>
    <row r="954" spans="1:9" x14ac:dyDescent="0.25">
      <c r="A954" t="s">
        <v>370</v>
      </c>
      <c r="B954" t="s">
        <v>612</v>
      </c>
      <c r="C954">
        <v>2005</v>
      </c>
      <c r="D954" s="130">
        <v>10.4</v>
      </c>
      <c r="E954" s="130">
        <v>-1.2000010000000001</v>
      </c>
      <c r="F954" s="130">
        <v>64283.6</v>
      </c>
      <c r="G954" s="130">
        <v>6.1386099999999999E-2</v>
      </c>
      <c r="H954">
        <v>256312</v>
      </c>
      <c r="I954">
        <v>6.7100300000000002E-2</v>
      </c>
    </row>
    <row r="955" spans="1:9" x14ac:dyDescent="0.25">
      <c r="A955" t="s">
        <v>370</v>
      </c>
      <c r="B955" t="s">
        <v>612</v>
      </c>
      <c r="C955">
        <v>2006</v>
      </c>
      <c r="D955" s="130">
        <v>9.3000001999999995</v>
      </c>
      <c r="E955" s="130">
        <v>-1.0999989999999999</v>
      </c>
      <c r="F955" s="130">
        <v>71767.5</v>
      </c>
      <c r="G955" s="130">
        <v>0.1101265</v>
      </c>
      <c r="H955">
        <v>273603</v>
      </c>
      <c r="I955">
        <v>8.4707000000000005E-2</v>
      </c>
    </row>
    <row r="956" spans="1:9" x14ac:dyDescent="0.25">
      <c r="A956" t="s">
        <v>370</v>
      </c>
      <c r="B956" t="s">
        <v>612</v>
      </c>
      <c r="C956">
        <v>2007</v>
      </c>
      <c r="D956" s="130">
        <v>8.6000004000000008</v>
      </c>
      <c r="E956" s="130">
        <v>-0.69999979999999995</v>
      </c>
      <c r="F956" s="130">
        <v>79821.899999999994</v>
      </c>
      <c r="G956" s="130">
        <v>0.10636619999999999</v>
      </c>
      <c r="H956">
        <v>294142</v>
      </c>
      <c r="I956">
        <v>0.100614</v>
      </c>
    </row>
    <row r="957" spans="1:9" x14ac:dyDescent="0.25">
      <c r="A957" t="s">
        <v>370</v>
      </c>
      <c r="B957" t="s">
        <v>612</v>
      </c>
      <c r="C957">
        <v>2008</v>
      </c>
      <c r="D957" s="130">
        <v>7.4000000999999997</v>
      </c>
      <c r="E957" s="130">
        <v>-1.2</v>
      </c>
      <c r="F957" s="130">
        <v>80199.7</v>
      </c>
      <c r="G957" s="130">
        <v>4.7226000000000004E-3</v>
      </c>
      <c r="H957">
        <v>310076</v>
      </c>
      <c r="I957">
        <v>7.8053800000000007E-2</v>
      </c>
    </row>
    <row r="958" spans="1:9" x14ac:dyDescent="0.25">
      <c r="A958" t="s">
        <v>370</v>
      </c>
      <c r="B958" t="s">
        <v>612</v>
      </c>
      <c r="C958">
        <v>2009</v>
      </c>
      <c r="D958" s="130">
        <v>7.8000002000000004</v>
      </c>
      <c r="E958" s="130">
        <v>0.40000010000000003</v>
      </c>
      <c r="F958" s="130">
        <v>79369.7</v>
      </c>
      <c r="G958" s="130">
        <v>-1.0403600000000001E-2</v>
      </c>
      <c r="H958">
        <v>321595</v>
      </c>
      <c r="I958">
        <v>5.6428100000000002E-2</v>
      </c>
    </row>
    <row r="959" spans="1:9" x14ac:dyDescent="0.25">
      <c r="A959" t="s">
        <v>370</v>
      </c>
      <c r="B959" t="s">
        <v>612</v>
      </c>
      <c r="C959">
        <v>2010</v>
      </c>
      <c r="D959" s="130">
        <v>7.8000002000000004</v>
      </c>
      <c r="E959" s="130">
        <v>0</v>
      </c>
      <c r="F959" s="130">
        <v>98732.9</v>
      </c>
      <c r="G959" s="130">
        <v>0.21830179999999999</v>
      </c>
      <c r="H959">
        <v>332225</v>
      </c>
      <c r="I959">
        <v>5.2075299999999998E-2</v>
      </c>
    </row>
    <row r="960" spans="1:9" x14ac:dyDescent="0.25">
      <c r="A960" t="s">
        <v>370</v>
      </c>
      <c r="B960" t="s">
        <v>612</v>
      </c>
      <c r="C960">
        <v>2011</v>
      </c>
      <c r="D960" s="130">
        <v>7.5</v>
      </c>
      <c r="E960" s="130">
        <v>-0.30000019999999999</v>
      </c>
      <c r="F960" s="130">
        <v>117707</v>
      </c>
      <c r="G960" s="130">
        <v>0.1757774</v>
      </c>
      <c r="H960">
        <v>341275</v>
      </c>
      <c r="I960">
        <v>4.4335699999999999E-2</v>
      </c>
    </row>
    <row r="961" spans="1:9" x14ac:dyDescent="0.25">
      <c r="A961" t="s">
        <v>370</v>
      </c>
      <c r="B961" t="s">
        <v>612</v>
      </c>
      <c r="C961">
        <v>2012</v>
      </c>
      <c r="F961" s="130">
        <v>126975</v>
      </c>
      <c r="G961" s="130">
        <v>7.5792300000000007E-2</v>
      </c>
      <c r="H961">
        <v>348913</v>
      </c>
      <c r="I961">
        <v>3.74163E-2</v>
      </c>
    </row>
    <row r="962" spans="1:9" x14ac:dyDescent="0.25">
      <c r="A962" t="s">
        <v>370</v>
      </c>
      <c r="B962" t="s">
        <v>612</v>
      </c>
      <c r="C962">
        <v>2013</v>
      </c>
    </row>
    <row r="963" spans="1:9" x14ac:dyDescent="0.25">
      <c r="A963" t="s">
        <v>380</v>
      </c>
      <c r="B963" t="s">
        <v>138</v>
      </c>
      <c r="C963">
        <v>1990</v>
      </c>
      <c r="D963" s="130">
        <v>28.200001</v>
      </c>
      <c r="F963" s="130">
        <v>12383.6</v>
      </c>
      <c r="H963" s="16">
        <v>31000000</v>
      </c>
    </row>
    <row r="964" spans="1:9" x14ac:dyDescent="0.25">
      <c r="A964" t="s">
        <v>380</v>
      </c>
      <c r="B964" t="s">
        <v>138</v>
      </c>
      <c r="C964">
        <v>1991</v>
      </c>
      <c r="D964" s="130">
        <v>44.599997999999999</v>
      </c>
      <c r="E964" s="130">
        <v>16.399999999999999</v>
      </c>
      <c r="F964" s="130">
        <v>12640.2</v>
      </c>
      <c r="G964" s="130">
        <v>2.05107E-2</v>
      </c>
      <c r="H964" s="16">
        <v>32000000</v>
      </c>
      <c r="I964">
        <v>3.1351700000000003E-2</v>
      </c>
    </row>
    <row r="965" spans="1:9" x14ac:dyDescent="0.25">
      <c r="A965" t="s">
        <v>380</v>
      </c>
      <c r="B965" t="s">
        <v>138</v>
      </c>
      <c r="C965">
        <v>1992</v>
      </c>
      <c r="D965" s="130">
        <v>43.900002000000001</v>
      </c>
      <c r="E965" s="130">
        <v>-0.69999690000000003</v>
      </c>
      <c r="F965" s="130">
        <v>12826.3</v>
      </c>
      <c r="G965" s="130">
        <v>1.4615100000000001E-2</v>
      </c>
      <c r="H965" s="16">
        <v>33000000</v>
      </c>
      <c r="I965">
        <v>4.2320999999999998E-2</v>
      </c>
    </row>
    <row r="966" spans="1:9" x14ac:dyDescent="0.25">
      <c r="A966" t="s">
        <v>380</v>
      </c>
      <c r="B966" t="s">
        <v>138</v>
      </c>
      <c r="C966">
        <v>1993</v>
      </c>
      <c r="D966" s="130">
        <v>44.799999</v>
      </c>
      <c r="E966" s="130">
        <v>0.89999770000000001</v>
      </c>
      <c r="F966" s="130">
        <v>13071.1</v>
      </c>
      <c r="G966" s="130">
        <v>1.8908500000000002E-2</v>
      </c>
      <c r="H966" s="16">
        <v>35000000</v>
      </c>
      <c r="I966">
        <v>4.2778700000000003E-2</v>
      </c>
    </row>
    <row r="967" spans="1:9" x14ac:dyDescent="0.25">
      <c r="A967" t="s">
        <v>380</v>
      </c>
      <c r="B967" t="s">
        <v>138</v>
      </c>
      <c r="C967">
        <v>1994</v>
      </c>
      <c r="D967" s="130">
        <v>43.700001</v>
      </c>
      <c r="E967" s="130">
        <v>-1.099998</v>
      </c>
      <c r="F967" s="130">
        <v>13412.8</v>
      </c>
      <c r="G967" s="130">
        <v>2.5802599999999998E-2</v>
      </c>
      <c r="H967" s="16">
        <v>35000000</v>
      </c>
      <c r="I967">
        <v>2.5650699999999999E-2</v>
      </c>
    </row>
    <row r="968" spans="1:9" x14ac:dyDescent="0.25">
      <c r="A968" t="s">
        <v>380</v>
      </c>
      <c r="B968" t="s">
        <v>138</v>
      </c>
      <c r="C968">
        <v>1995</v>
      </c>
      <c r="D968" s="130">
        <v>41.5</v>
      </c>
      <c r="E968" s="130">
        <v>-2.2000009999999999</v>
      </c>
      <c r="F968" s="130">
        <v>12395.1</v>
      </c>
      <c r="G968" s="130">
        <v>-7.8907000000000005E-2</v>
      </c>
      <c r="H968" s="16">
        <v>36000000</v>
      </c>
      <c r="I968">
        <v>2.8568E-2</v>
      </c>
    </row>
    <row r="969" spans="1:9" x14ac:dyDescent="0.25">
      <c r="A969" t="s">
        <v>380</v>
      </c>
      <c r="B969" t="s">
        <v>138</v>
      </c>
      <c r="C969">
        <v>1996</v>
      </c>
      <c r="D969" s="130">
        <v>40.299999</v>
      </c>
      <c r="E969" s="130">
        <v>-1.2000010000000001</v>
      </c>
      <c r="F969" s="130">
        <v>12879.1</v>
      </c>
      <c r="G969" s="130">
        <v>3.8301500000000002E-2</v>
      </c>
      <c r="H969" s="16">
        <v>37000000</v>
      </c>
      <c r="I969">
        <v>2.9704600000000001E-2</v>
      </c>
    </row>
    <row r="970" spans="1:9" x14ac:dyDescent="0.25">
      <c r="A970" t="s">
        <v>380</v>
      </c>
      <c r="B970" t="s">
        <v>138</v>
      </c>
      <c r="C970">
        <v>1997</v>
      </c>
      <c r="D970" s="130">
        <v>41.200001</v>
      </c>
      <c r="E970" s="130">
        <v>0.90000150000000001</v>
      </c>
      <c r="F970" s="130">
        <v>13529.9</v>
      </c>
      <c r="G970" s="130">
        <v>4.9296399999999997E-2</v>
      </c>
      <c r="H970" s="16">
        <v>39000000</v>
      </c>
      <c r="I970">
        <v>5.7886199999999999E-2</v>
      </c>
    </row>
    <row r="971" spans="1:9" x14ac:dyDescent="0.25">
      <c r="A971" t="s">
        <v>380</v>
      </c>
      <c r="B971" t="s">
        <v>138</v>
      </c>
      <c r="C971">
        <v>1998</v>
      </c>
      <c r="D971" s="130">
        <v>38.799999</v>
      </c>
      <c r="E971" s="130">
        <v>-2.4000020000000002</v>
      </c>
      <c r="F971" s="130">
        <v>13925.4</v>
      </c>
      <c r="G971" s="130">
        <v>2.8813399999999999E-2</v>
      </c>
      <c r="H971" s="16">
        <v>40000000</v>
      </c>
      <c r="I971">
        <v>2.4488200000000002E-2</v>
      </c>
    </row>
    <row r="972" spans="1:9" x14ac:dyDescent="0.25">
      <c r="A972" t="s">
        <v>380</v>
      </c>
      <c r="B972" t="s">
        <v>138</v>
      </c>
      <c r="C972">
        <v>1999</v>
      </c>
      <c r="D972" s="130">
        <v>38.299999</v>
      </c>
      <c r="E972" s="130">
        <v>-0.5</v>
      </c>
      <c r="F972" s="130">
        <v>14067.9</v>
      </c>
      <c r="G972" s="130">
        <v>1.0182399999999999E-2</v>
      </c>
      <c r="H972" s="16">
        <v>40000000</v>
      </c>
      <c r="I972">
        <v>1.04207E-2</v>
      </c>
    </row>
    <row r="973" spans="1:9" x14ac:dyDescent="0.25">
      <c r="A973" t="s">
        <v>380</v>
      </c>
      <c r="B973" t="s">
        <v>138</v>
      </c>
      <c r="C973">
        <v>2000</v>
      </c>
      <c r="D973" s="130">
        <v>36.099997999999999</v>
      </c>
      <c r="E973" s="130">
        <v>-2.2000009999999999</v>
      </c>
      <c r="F973" s="130">
        <v>14591</v>
      </c>
      <c r="G973" s="130">
        <v>3.6508600000000002E-2</v>
      </c>
      <c r="H973" s="16">
        <v>41000000</v>
      </c>
      <c r="I973">
        <v>2.20757E-2</v>
      </c>
    </row>
    <row r="974" spans="1:9" x14ac:dyDescent="0.25">
      <c r="A974" t="s">
        <v>380</v>
      </c>
      <c r="B974" t="s">
        <v>138</v>
      </c>
      <c r="C974">
        <v>2001</v>
      </c>
      <c r="D974" s="130">
        <v>36.5</v>
      </c>
      <c r="E974" s="130">
        <v>0.40000150000000001</v>
      </c>
      <c r="F974" s="130">
        <v>14300.8</v>
      </c>
      <c r="G974" s="130">
        <v>-2.00901E-2</v>
      </c>
      <c r="H974" s="16">
        <v>41000000</v>
      </c>
      <c r="I974">
        <v>1.1981500000000001E-2</v>
      </c>
    </row>
    <row r="975" spans="1:9" x14ac:dyDescent="0.25">
      <c r="A975" t="s">
        <v>380</v>
      </c>
      <c r="B975" t="s">
        <v>138</v>
      </c>
      <c r="C975">
        <v>2002</v>
      </c>
      <c r="D975" s="130">
        <v>37</v>
      </c>
      <c r="E975" s="130">
        <v>0.5</v>
      </c>
      <c r="F975" s="130">
        <v>14134</v>
      </c>
      <c r="G975" s="130">
        <v>-1.17331E-2</v>
      </c>
      <c r="H975" s="16">
        <v>42000000</v>
      </c>
      <c r="I975">
        <v>2.6747199999999999E-2</v>
      </c>
    </row>
    <row r="976" spans="1:9" x14ac:dyDescent="0.25">
      <c r="A976" t="s">
        <v>380</v>
      </c>
      <c r="B976" t="s">
        <v>138</v>
      </c>
      <c r="C976">
        <v>2003</v>
      </c>
      <c r="D976" s="130">
        <v>36.799999</v>
      </c>
      <c r="E976" s="130">
        <v>-0.20000080000000001</v>
      </c>
      <c r="F976" s="130">
        <v>14158.2</v>
      </c>
      <c r="G976" s="130">
        <v>1.7166E-3</v>
      </c>
      <c r="H976" s="16">
        <v>42000000</v>
      </c>
      <c r="I976">
        <v>1.02398E-2</v>
      </c>
    </row>
    <row r="977" spans="1:9" x14ac:dyDescent="0.25">
      <c r="A977" t="s">
        <v>380</v>
      </c>
      <c r="B977" t="s">
        <v>138</v>
      </c>
      <c r="C977">
        <v>2004</v>
      </c>
      <c r="D977" s="130">
        <v>36.700001</v>
      </c>
      <c r="E977" s="130">
        <v>-9.9998500000000004E-2</v>
      </c>
      <c r="F977" s="130">
        <v>14587.5</v>
      </c>
      <c r="G977" s="130">
        <v>2.9871000000000002E-2</v>
      </c>
      <c r="H977" s="16">
        <v>44000000</v>
      </c>
      <c r="I977">
        <v>5.7611299999999997E-2</v>
      </c>
    </row>
    <row r="978" spans="1:9" x14ac:dyDescent="0.25">
      <c r="A978" t="s">
        <v>380</v>
      </c>
      <c r="B978" t="s">
        <v>138</v>
      </c>
      <c r="C978">
        <v>2005</v>
      </c>
      <c r="D978" s="130">
        <v>35.700001</v>
      </c>
      <c r="E978" s="130">
        <v>-1</v>
      </c>
      <c r="F978" s="130">
        <v>14846.6</v>
      </c>
      <c r="G978" s="130">
        <v>1.7605800000000001E-2</v>
      </c>
      <c r="H978" s="16">
        <v>45000000</v>
      </c>
      <c r="I978">
        <v>2.3455E-2</v>
      </c>
    </row>
    <row r="979" spans="1:9" x14ac:dyDescent="0.25">
      <c r="A979" t="s">
        <v>380</v>
      </c>
      <c r="B979" t="s">
        <v>138</v>
      </c>
      <c r="C979">
        <v>2006</v>
      </c>
      <c r="D979" s="130">
        <v>34.599997999999999</v>
      </c>
      <c r="E979" s="130">
        <v>-1.1000019999999999</v>
      </c>
      <c r="F979" s="130">
        <v>15396.6</v>
      </c>
      <c r="G979" s="130">
        <v>3.6374099999999999E-2</v>
      </c>
      <c r="H979" s="16">
        <v>46000000</v>
      </c>
      <c r="I979">
        <v>4.9033300000000002E-2</v>
      </c>
    </row>
    <row r="980" spans="1:9" x14ac:dyDescent="0.25">
      <c r="A980" t="s">
        <v>380</v>
      </c>
      <c r="B980" t="s">
        <v>138</v>
      </c>
      <c r="C980">
        <v>2007</v>
      </c>
      <c r="D980" s="130">
        <v>34.5</v>
      </c>
      <c r="E980" s="130">
        <v>-9.9998500000000004E-2</v>
      </c>
      <c r="F980" s="130">
        <v>15683.7</v>
      </c>
      <c r="G980" s="130">
        <v>1.8471700000000001E-2</v>
      </c>
      <c r="H980" s="16">
        <v>47000000</v>
      </c>
      <c r="I980">
        <v>3.3292099999999998E-2</v>
      </c>
    </row>
    <row r="981" spans="1:9" x14ac:dyDescent="0.25">
      <c r="A981" t="s">
        <v>380</v>
      </c>
      <c r="B981" t="s">
        <v>138</v>
      </c>
      <c r="C981">
        <v>2008</v>
      </c>
      <c r="D981" s="130">
        <v>34.099997999999999</v>
      </c>
      <c r="E981" s="130">
        <v>-0.40000150000000001</v>
      </c>
      <c r="F981" s="130">
        <v>15704.3</v>
      </c>
      <c r="G981" s="130">
        <v>1.317E-3</v>
      </c>
      <c r="H981" s="16">
        <v>49000000</v>
      </c>
      <c r="I981">
        <v>3.7054400000000001E-2</v>
      </c>
    </row>
    <row r="982" spans="1:9" x14ac:dyDescent="0.25">
      <c r="A982" t="s">
        <v>380</v>
      </c>
      <c r="B982" t="s">
        <v>138</v>
      </c>
      <c r="C982">
        <v>2009</v>
      </c>
      <c r="D982" s="130">
        <v>33.799999</v>
      </c>
      <c r="E982" s="130">
        <v>-0.29999920000000002</v>
      </c>
      <c r="F982" s="130">
        <v>14779.2</v>
      </c>
      <c r="G982" s="130">
        <v>-6.0717599999999997E-2</v>
      </c>
      <c r="H982" s="16">
        <v>49000000</v>
      </c>
      <c r="I982">
        <v>1.8289999999999999E-3</v>
      </c>
    </row>
    <row r="983" spans="1:9" x14ac:dyDescent="0.25">
      <c r="A983" t="s">
        <v>380</v>
      </c>
      <c r="B983" t="s">
        <v>138</v>
      </c>
      <c r="C983">
        <v>2010</v>
      </c>
      <c r="D983" s="130">
        <v>34.700001</v>
      </c>
      <c r="E983" s="130">
        <v>0.90000150000000001</v>
      </c>
      <c r="F983" s="130">
        <v>15335.2</v>
      </c>
      <c r="G983" s="130">
        <v>3.6929099999999999E-2</v>
      </c>
      <c r="H983" s="16">
        <v>50000000</v>
      </c>
      <c r="I983">
        <v>5.7404299999999998E-2</v>
      </c>
    </row>
    <row r="984" spans="1:9" x14ac:dyDescent="0.25">
      <c r="A984" t="s">
        <v>380</v>
      </c>
      <c r="B984" t="s">
        <v>138</v>
      </c>
      <c r="C984">
        <v>2011</v>
      </c>
      <c r="D984" s="130">
        <v>33.700001</v>
      </c>
      <c r="E984" s="130">
        <v>-1</v>
      </c>
      <c r="F984" s="130">
        <v>15748.8</v>
      </c>
      <c r="G984" s="130">
        <v>2.6617999999999999E-2</v>
      </c>
      <c r="H984" s="16">
        <v>51000000</v>
      </c>
      <c r="I984">
        <v>1.06044E-2</v>
      </c>
    </row>
    <row r="985" spans="1:9" x14ac:dyDescent="0.25">
      <c r="A985" t="s">
        <v>380</v>
      </c>
      <c r="B985" t="s">
        <v>138</v>
      </c>
      <c r="C985">
        <v>2012</v>
      </c>
      <c r="F985" s="130">
        <v>16143.8</v>
      </c>
      <c r="G985" s="130">
        <v>2.4769800000000002E-2</v>
      </c>
      <c r="H985" s="16">
        <v>53000000</v>
      </c>
      <c r="I985">
        <v>6.8666099999999994E-2</v>
      </c>
    </row>
    <row r="986" spans="1:9" x14ac:dyDescent="0.25">
      <c r="A986" t="s">
        <v>380</v>
      </c>
      <c r="B986" t="s">
        <v>138</v>
      </c>
      <c r="C986">
        <v>2013</v>
      </c>
    </row>
    <row r="987" spans="1:9" x14ac:dyDescent="0.25">
      <c r="A987" t="s">
        <v>371</v>
      </c>
      <c r="B987" t="s">
        <v>107</v>
      </c>
      <c r="C987">
        <v>1998</v>
      </c>
      <c r="D987" s="130">
        <v>22.6</v>
      </c>
      <c r="F987" s="130">
        <v>8488.56</v>
      </c>
      <c r="H987">
        <v>830923</v>
      </c>
    </row>
    <row r="988" spans="1:9" x14ac:dyDescent="0.25">
      <c r="A988" t="s">
        <v>371</v>
      </c>
      <c r="B988" t="s">
        <v>107</v>
      </c>
      <c r="C988">
        <v>1999</v>
      </c>
      <c r="D988" s="130">
        <v>25.5</v>
      </c>
      <c r="E988" s="130">
        <v>2.9</v>
      </c>
      <c r="F988" s="130">
        <v>8763.8700000000008</v>
      </c>
      <c r="G988" s="130">
        <v>3.1917599999999997E-2</v>
      </c>
      <c r="H988">
        <v>838427</v>
      </c>
      <c r="I988">
        <v>9.0305999999999997E-3</v>
      </c>
    </row>
    <row r="989" spans="1:9" x14ac:dyDescent="0.25">
      <c r="A989" t="s">
        <v>371</v>
      </c>
      <c r="B989" t="s">
        <v>107</v>
      </c>
      <c r="C989">
        <v>2000</v>
      </c>
      <c r="D989" s="130">
        <v>25.700001</v>
      </c>
      <c r="E989" s="130">
        <v>0.20000080000000001</v>
      </c>
      <c r="F989" s="130">
        <v>9083.77</v>
      </c>
      <c r="G989" s="130">
        <v>3.5851500000000001E-2</v>
      </c>
      <c r="H989">
        <v>852481</v>
      </c>
      <c r="I989">
        <v>1.6913399999999999E-2</v>
      </c>
    </row>
    <row r="990" spans="1:9" x14ac:dyDescent="0.25">
      <c r="A990" t="s">
        <v>371</v>
      </c>
      <c r="B990" t="s">
        <v>107</v>
      </c>
      <c r="C990">
        <v>2001</v>
      </c>
      <c r="D990" s="130">
        <v>29.9</v>
      </c>
      <c r="E990" s="130">
        <v>4.199999</v>
      </c>
      <c r="F990" s="130">
        <v>8618.24</v>
      </c>
      <c r="G990" s="130">
        <v>-5.2608500000000002E-2</v>
      </c>
      <c r="H990">
        <v>863339</v>
      </c>
      <c r="I990">
        <v>1.3067199999999999E-2</v>
      </c>
    </row>
    <row r="991" spans="1:9" x14ac:dyDescent="0.25">
      <c r="A991" t="s">
        <v>371</v>
      </c>
      <c r="B991" t="s">
        <v>107</v>
      </c>
      <c r="C991">
        <v>2002</v>
      </c>
      <c r="D991" s="130">
        <v>29.299999</v>
      </c>
      <c r="E991" s="130">
        <v>-0.60000039999999999</v>
      </c>
      <c r="F991" s="130">
        <v>8652.64</v>
      </c>
      <c r="G991" s="130">
        <v>3.9845000000000002E-3</v>
      </c>
      <c r="H991">
        <v>872945</v>
      </c>
      <c r="I991">
        <v>1.1561200000000001E-2</v>
      </c>
    </row>
    <row r="992" spans="1:9" x14ac:dyDescent="0.25">
      <c r="A992" t="s">
        <v>371</v>
      </c>
      <c r="B992" t="s">
        <v>107</v>
      </c>
      <c r="C992">
        <v>2003</v>
      </c>
      <c r="D992" s="130">
        <v>27.299999</v>
      </c>
      <c r="E992" s="130">
        <v>-2</v>
      </c>
      <c r="F992" s="130">
        <v>8868.8799999999992</v>
      </c>
      <c r="G992" s="130">
        <v>2.4683E-2</v>
      </c>
      <c r="H992">
        <v>884806</v>
      </c>
      <c r="I992">
        <v>1.4274800000000001E-2</v>
      </c>
    </row>
    <row r="993" spans="1:9" x14ac:dyDescent="0.25">
      <c r="A993" t="s">
        <v>371</v>
      </c>
      <c r="B993" t="s">
        <v>107</v>
      </c>
      <c r="C993">
        <v>2004</v>
      </c>
      <c r="D993" s="130">
        <v>24.6</v>
      </c>
      <c r="E993" s="130">
        <v>-2.699999</v>
      </c>
      <c r="F993" s="130">
        <v>9257.6299999999992</v>
      </c>
      <c r="G993" s="130">
        <v>4.2900099999999997E-2</v>
      </c>
      <c r="H993">
        <v>857903</v>
      </c>
      <c r="I993">
        <v>-3.2377499999999997E-2</v>
      </c>
    </row>
    <row r="994" spans="1:9" x14ac:dyDescent="0.25">
      <c r="A994" t="s">
        <v>371</v>
      </c>
      <c r="B994" t="s">
        <v>107</v>
      </c>
      <c r="C994">
        <v>2005</v>
      </c>
      <c r="D994" s="130">
        <v>28.200001</v>
      </c>
      <c r="E994" s="130">
        <v>3.6</v>
      </c>
      <c r="F994" s="130">
        <v>9640.59</v>
      </c>
      <c r="G994" s="130">
        <v>4.0534000000000001E-2</v>
      </c>
      <c r="H994">
        <v>888825</v>
      </c>
      <c r="I994">
        <v>3.7213700000000002E-2</v>
      </c>
    </row>
    <row r="995" spans="1:9" x14ac:dyDescent="0.25">
      <c r="A995" t="s">
        <v>371</v>
      </c>
      <c r="B995" t="s">
        <v>107</v>
      </c>
      <c r="C995">
        <v>2006</v>
      </c>
      <c r="D995" s="130">
        <v>29.299999</v>
      </c>
      <c r="E995" s="130">
        <v>1.099998</v>
      </c>
      <c r="F995" s="130">
        <v>10107.4</v>
      </c>
      <c r="G995" s="130">
        <v>4.7286000000000002E-2</v>
      </c>
      <c r="H995">
        <v>914793</v>
      </c>
      <c r="I995">
        <v>3.12524E-2</v>
      </c>
    </row>
    <row r="996" spans="1:9" x14ac:dyDescent="0.25">
      <c r="A996" t="s">
        <v>371</v>
      </c>
      <c r="B996" t="s">
        <v>107</v>
      </c>
      <c r="C996">
        <v>2007</v>
      </c>
      <c r="D996" s="130">
        <v>27.700001</v>
      </c>
      <c r="E996" s="130">
        <v>-1.599998</v>
      </c>
      <c r="F996" s="130">
        <v>10714.5</v>
      </c>
      <c r="G996" s="130">
        <v>5.8326700000000002E-2</v>
      </c>
      <c r="H996">
        <v>928639</v>
      </c>
      <c r="I996">
        <v>1.6662699999999999E-2</v>
      </c>
    </row>
    <row r="997" spans="1:9" x14ac:dyDescent="0.25">
      <c r="A997" t="s">
        <v>371</v>
      </c>
      <c r="B997" t="s">
        <v>107</v>
      </c>
      <c r="C997">
        <v>2008</v>
      </c>
      <c r="D997" s="130">
        <v>28.200001</v>
      </c>
      <c r="E997" s="130">
        <v>0.5</v>
      </c>
      <c r="F997" s="130">
        <v>11233.3</v>
      </c>
      <c r="G997" s="130">
        <v>4.72898E-2</v>
      </c>
      <c r="H997">
        <v>945431</v>
      </c>
      <c r="I997">
        <v>2.0209399999999999E-2</v>
      </c>
    </row>
    <row r="998" spans="1:9" x14ac:dyDescent="0.25">
      <c r="A998" t="s">
        <v>371</v>
      </c>
      <c r="B998" t="s">
        <v>107</v>
      </c>
      <c r="C998">
        <v>2009</v>
      </c>
      <c r="D998" s="130">
        <v>28.1</v>
      </c>
      <c r="E998" s="130">
        <v>-0.1000004</v>
      </c>
      <c r="F998" s="130">
        <v>11120.5</v>
      </c>
      <c r="G998" s="130">
        <v>-1.0097500000000001E-2</v>
      </c>
      <c r="H998">
        <v>956478</v>
      </c>
      <c r="I998">
        <v>1.32943E-2</v>
      </c>
    </row>
    <row r="999" spans="1:9" x14ac:dyDescent="0.25">
      <c r="A999" t="s">
        <v>371</v>
      </c>
      <c r="B999" t="s">
        <v>107</v>
      </c>
      <c r="C999">
        <v>2010</v>
      </c>
      <c r="D999" s="130">
        <v>28.5</v>
      </c>
      <c r="E999" s="130">
        <v>0.39999960000000001</v>
      </c>
      <c r="F999" s="130">
        <v>11433.2</v>
      </c>
      <c r="G999" s="130">
        <v>2.7733799999999999E-2</v>
      </c>
      <c r="H999">
        <v>965067</v>
      </c>
      <c r="I999">
        <v>1.0337000000000001E-2</v>
      </c>
    </row>
    <row r="1000" spans="1:9" x14ac:dyDescent="0.25">
      <c r="A1000" t="s">
        <v>371</v>
      </c>
      <c r="B1000" t="s">
        <v>107</v>
      </c>
      <c r="C1000">
        <v>2011</v>
      </c>
      <c r="D1000" s="130">
        <v>28.200001</v>
      </c>
      <c r="E1000" s="130">
        <v>-0.29999920000000002</v>
      </c>
      <c r="F1000" s="130">
        <v>11748.7</v>
      </c>
      <c r="G1000" s="130">
        <v>2.72207E-2</v>
      </c>
      <c r="H1000">
        <v>965911</v>
      </c>
      <c r="I1000">
        <v>1.0154000000000001E-3</v>
      </c>
    </row>
    <row r="1001" spans="1:9" x14ac:dyDescent="0.25">
      <c r="A1001" t="s">
        <v>371</v>
      </c>
      <c r="B1001" t="s">
        <v>107</v>
      </c>
      <c r="C1001">
        <v>2012</v>
      </c>
      <c r="D1001" s="130">
        <v>26.799999</v>
      </c>
      <c r="E1001" s="130">
        <v>-1.400002</v>
      </c>
      <c r="F1001" s="130">
        <v>11708</v>
      </c>
      <c r="G1001" s="130">
        <v>-3.4713999999999999E-3</v>
      </c>
      <c r="H1001">
        <v>964227</v>
      </c>
      <c r="I1001">
        <v>-2.0263999999999998E-3</v>
      </c>
    </row>
    <row r="1002" spans="1:9" x14ac:dyDescent="0.25">
      <c r="A1002" t="s">
        <v>371</v>
      </c>
      <c r="B1002" t="s">
        <v>107</v>
      </c>
      <c r="C1002">
        <v>2013</v>
      </c>
    </row>
    <row r="1003" spans="1:9" x14ac:dyDescent="0.25">
      <c r="A1003" t="s">
        <v>374</v>
      </c>
      <c r="B1003" t="s">
        <v>128</v>
      </c>
      <c r="C1003">
        <v>1991</v>
      </c>
      <c r="D1003" s="130">
        <v>31.9</v>
      </c>
      <c r="F1003" s="130">
        <v>10827.6</v>
      </c>
      <c r="H1003" s="16">
        <v>7300000</v>
      </c>
    </row>
    <row r="1004" spans="1:9" x14ac:dyDescent="0.25">
      <c r="A1004" t="s">
        <v>374</v>
      </c>
      <c r="B1004" t="s">
        <v>128</v>
      </c>
      <c r="C1004">
        <v>1992</v>
      </c>
      <c r="F1004" s="130">
        <v>11485.7</v>
      </c>
      <c r="G1004" s="130">
        <v>5.9001900000000003E-2</v>
      </c>
      <c r="H1004" s="16">
        <v>7500000</v>
      </c>
      <c r="I1004">
        <v>3.04859E-2</v>
      </c>
    </row>
    <row r="1005" spans="1:9" x14ac:dyDescent="0.25">
      <c r="A1005" t="s">
        <v>374</v>
      </c>
      <c r="B1005" t="s">
        <v>128</v>
      </c>
      <c r="C1005">
        <v>1993</v>
      </c>
      <c r="F1005" s="130">
        <v>12304.2</v>
      </c>
      <c r="G1005" s="130">
        <v>6.8840999999999999E-2</v>
      </c>
      <c r="H1005" s="16">
        <v>7700000</v>
      </c>
      <c r="I1005">
        <v>3.10292E-2</v>
      </c>
    </row>
    <row r="1006" spans="1:9" x14ac:dyDescent="0.25">
      <c r="A1006" t="s">
        <v>374</v>
      </c>
      <c r="B1006" t="s">
        <v>128</v>
      </c>
      <c r="C1006">
        <v>1994</v>
      </c>
      <c r="F1006" s="130">
        <v>13101.8</v>
      </c>
      <c r="G1006" s="130">
        <v>6.2805200000000005E-2</v>
      </c>
      <c r="H1006" s="16">
        <v>8000000</v>
      </c>
      <c r="I1006">
        <v>3.2350799999999999E-2</v>
      </c>
    </row>
    <row r="1007" spans="1:9" x14ac:dyDescent="0.25">
      <c r="A1007" t="s">
        <v>374</v>
      </c>
      <c r="B1007" t="s">
        <v>128</v>
      </c>
      <c r="C1007">
        <v>1995</v>
      </c>
      <c r="D1007" s="130">
        <v>27.4</v>
      </c>
      <c r="F1007" s="130">
        <v>14029.3</v>
      </c>
      <c r="G1007" s="130">
        <v>6.8403199999999997E-2</v>
      </c>
      <c r="H1007" s="16">
        <v>8200000</v>
      </c>
      <c r="I1007">
        <v>3.4205300000000001E-2</v>
      </c>
    </row>
    <row r="1008" spans="1:9" x14ac:dyDescent="0.25">
      <c r="A1008" t="s">
        <v>374</v>
      </c>
      <c r="B1008" t="s">
        <v>128</v>
      </c>
      <c r="C1008">
        <v>1996</v>
      </c>
      <c r="D1008" s="130">
        <v>27.700001</v>
      </c>
      <c r="E1008" s="130">
        <v>0.30000110000000002</v>
      </c>
      <c r="F1008" s="130">
        <v>15044.7</v>
      </c>
      <c r="G1008" s="130">
        <v>6.98738E-2</v>
      </c>
      <c r="H1008" s="16">
        <v>8500000</v>
      </c>
      <c r="I1008">
        <v>3.8093200000000001E-2</v>
      </c>
    </row>
    <row r="1009" spans="1:9" x14ac:dyDescent="0.25">
      <c r="A1009" t="s">
        <v>374</v>
      </c>
      <c r="B1009" t="s">
        <v>128</v>
      </c>
      <c r="C1009">
        <v>1997</v>
      </c>
      <c r="D1009" s="130">
        <v>25.5</v>
      </c>
      <c r="E1009" s="130">
        <v>-2.2000009999999999</v>
      </c>
      <c r="F1009" s="130">
        <v>15742</v>
      </c>
      <c r="G1009" s="130">
        <v>4.5311900000000002E-2</v>
      </c>
      <c r="H1009" s="16">
        <v>8800000</v>
      </c>
      <c r="I1009">
        <v>3.79969E-2</v>
      </c>
    </row>
    <row r="1010" spans="1:9" x14ac:dyDescent="0.25">
      <c r="A1010" t="s">
        <v>374</v>
      </c>
      <c r="B1010" t="s">
        <v>128</v>
      </c>
      <c r="C1010">
        <v>1998</v>
      </c>
      <c r="D1010" s="130">
        <v>26.6</v>
      </c>
      <c r="E1010" s="130">
        <v>1.1000000000000001</v>
      </c>
      <c r="F1010" s="130">
        <v>14225.2</v>
      </c>
      <c r="G1010" s="130">
        <v>-0.1013174</v>
      </c>
      <c r="H1010" s="16">
        <v>9100000</v>
      </c>
      <c r="I1010">
        <v>3.9330999999999998E-2</v>
      </c>
    </row>
    <row r="1011" spans="1:9" x14ac:dyDescent="0.25">
      <c r="A1011" t="s">
        <v>374</v>
      </c>
      <c r="B1011" t="s">
        <v>128</v>
      </c>
      <c r="C1011">
        <v>1999</v>
      </c>
      <c r="D1011" s="130">
        <v>25.299999</v>
      </c>
      <c r="E1011" s="130">
        <v>-1.300001</v>
      </c>
      <c r="F1011" s="130">
        <v>14741.6</v>
      </c>
      <c r="G1011" s="130">
        <v>3.5654100000000001E-2</v>
      </c>
      <c r="H1011" s="16">
        <v>9400000</v>
      </c>
      <c r="I1011">
        <v>4.0081400000000003E-2</v>
      </c>
    </row>
    <row r="1012" spans="1:9" x14ac:dyDescent="0.25">
      <c r="A1012" t="s">
        <v>374</v>
      </c>
      <c r="B1012" t="s">
        <v>128</v>
      </c>
      <c r="C1012">
        <v>2000</v>
      </c>
      <c r="D1012" s="130">
        <v>25.700001</v>
      </c>
      <c r="E1012" s="130">
        <v>0.40000150000000001</v>
      </c>
      <c r="F1012" s="130">
        <v>15688</v>
      </c>
      <c r="G1012" s="130">
        <v>6.2224399999999999E-2</v>
      </c>
      <c r="H1012" s="16">
        <v>9800000</v>
      </c>
      <c r="I1012">
        <v>6.1805600000000002E-2</v>
      </c>
    </row>
    <row r="1013" spans="1:9" x14ac:dyDescent="0.25">
      <c r="A1013" t="s">
        <v>374</v>
      </c>
      <c r="B1013" t="s">
        <v>128</v>
      </c>
      <c r="C1013">
        <v>2001</v>
      </c>
      <c r="D1013" s="130">
        <v>24.6</v>
      </c>
      <c r="E1013" s="130">
        <v>-1.1000000000000001</v>
      </c>
      <c r="F1013" s="130">
        <v>15436.4</v>
      </c>
      <c r="G1013" s="130">
        <v>-1.61695E-2</v>
      </c>
      <c r="H1013" s="16">
        <v>10000000</v>
      </c>
      <c r="I1013">
        <v>3.2386999999999999E-2</v>
      </c>
    </row>
    <row r="1014" spans="1:9" x14ac:dyDescent="0.25">
      <c r="A1014" t="s">
        <v>374</v>
      </c>
      <c r="B1014" t="s">
        <v>128</v>
      </c>
      <c r="C1014">
        <v>2002</v>
      </c>
      <c r="D1014" s="130">
        <v>23.299999</v>
      </c>
      <c r="E1014" s="130">
        <v>-1.300001</v>
      </c>
      <c r="F1014" s="130">
        <v>15943.3</v>
      </c>
      <c r="G1014" s="130">
        <v>3.2314299999999997E-2</v>
      </c>
      <c r="H1014" s="16">
        <v>10000000</v>
      </c>
      <c r="I1014">
        <v>3.2087999999999998E-2</v>
      </c>
    </row>
    <row r="1015" spans="1:9" x14ac:dyDescent="0.25">
      <c r="A1015" t="s">
        <v>374</v>
      </c>
      <c r="B1015" t="s">
        <v>128</v>
      </c>
      <c r="C1015">
        <v>2003</v>
      </c>
      <c r="D1015" s="130">
        <v>23.799999</v>
      </c>
      <c r="E1015" s="130">
        <v>0.5</v>
      </c>
      <c r="F1015" s="130">
        <v>16543.099999999999</v>
      </c>
      <c r="G1015" s="130">
        <v>3.69272E-2</v>
      </c>
      <c r="H1015" s="16">
        <v>11000000</v>
      </c>
      <c r="I1015">
        <v>3.1698499999999998E-2</v>
      </c>
    </row>
    <row r="1016" spans="1:9" x14ac:dyDescent="0.25">
      <c r="A1016" t="s">
        <v>374</v>
      </c>
      <c r="B1016" t="s">
        <v>128</v>
      </c>
      <c r="C1016">
        <v>2004</v>
      </c>
      <c r="D1016" s="130">
        <v>25.4</v>
      </c>
      <c r="E1016" s="130">
        <v>1.6</v>
      </c>
      <c r="F1016" s="130">
        <v>17334.900000000001</v>
      </c>
      <c r="G1016" s="130">
        <v>4.6751000000000001E-2</v>
      </c>
      <c r="H1016" s="16">
        <v>11000000</v>
      </c>
      <c r="I1016">
        <v>3.125E-2</v>
      </c>
    </row>
    <row r="1017" spans="1:9" x14ac:dyDescent="0.25">
      <c r="A1017" t="s">
        <v>374</v>
      </c>
      <c r="B1017" t="s">
        <v>128</v>
      </c>
      <c r="C1017">
        <v>2005</v>
      </c>
      <c r="D1017" s="130">
        <v>24.5</v>
      </c>
      <c r="E1017" s="130">
        <v>-0.89999960000000001</v>
      </c>
      <c r="F1017" s="130">
        <v>17921.2</v>
      </c>
      <c r="G1017" s="130">
        <v>3.3265099999999999E-2</v>
      </c>
      <c r="H1017" s="16">
        <v>11000000</v>
      </c>
      <c r="I1017">
        <v>3.07581E-2</v>
      </c>
    </row>
    <row r="1018" spans="1:9" x14ac:dyDescent="0.25">
      <c r="A1018" t="s">
        <v>374</v>
      </c>
      <c r="B1018" t="s">
        <v>128</v>
      </c>
      <c r="C1018">
        <v>2006</v>
      </c>
      <c r="D1018" s="130">
        <v>25.700001</v>
      </c>
      <c r="E1018" s="130">
        <v>1.2000010000000001</v>
      </c>
      <c r="F1018" s="130">
        <v>18574.5</v>
      </c>
      <c r="G1018" s="130">
        <v>3.5804700000000002E-2</v>
      </c>
      <c r="H1018" s="16">
        <v>11000000</v>
      </c>
      <c r="I1018">
        <v>3.0104200000000001E-2</v>
      </c>
    </row>
    <row r="1019" spans="1:9" x14ac:dyDescent="0.25">
      <c r="A1019" t="s">
        <v>374</v>
      </c>
      <c r="B1019" t="s">
        <v>128</v>
      </c>
      <c r="C1019">
        <v>2007</v>
      </c>
      <c r="D1019" s="130">
        <v>25.799999</v>
      </c>
      <c r="E1019" s="130">
        <v>9.9998500000000004E-2</v>
      </c>
      <c r="F1019" s="130">
        <v>19386</v>
      </c>
      <c r="G1019" s="130">
        <v>4.2761800000000003E-2</v>
      </c>
      <c r="H1019" s="16">
        <v>11000000</v>
      </c>
      <c r="I1019">
        <v>2.9400300000000001E-2</v>
      </c>
    </row>
    <row r="1020" spans="1:9" x14ac:dyDescent="0.25">
      <c r="A1020" t="s">
        <v>374</v>
      </c>
      <c r="B1020" t="s">
        <v>128</v>
      </c>
      <c r="C1020">
        <v>2008</v>
      </c>
      <c r="D1020" s="130">
        <v>25.4</v>
      </c>
      <c r="E1020" s="130">
        <v>-0.39999960000000001</v>
      </c>
      <c r="F1020" s="130">
        <v>19959.099999999999</v>
      </c>
      <c r="G1020" s="130">
        <v>2.9134799999999999E-2</v>
      </c>
      <c r="H1020" s="16">
        <v>12000000</v>
      </c>
      <c r="I1020">
        <v>2.8897900000000001E-2</v>
      </c>
    </row>
    <row r="1021" spans="1:9" x14ac:dyDescent="0.25">
      <c r="A1021" t="s">
        <v>374</v>
      </c>
      <c r="B1021" t="s">
        <v>128</v>
      </c>
      <c r="C1021">
        <v>2009</v>
      </c>
      <c r="D1021" s="130">
        <v>25.200001</v>
      </c>
      <c r="E1021" s="130">
        <v>-0.19999890000000001</v>
      </c>
      <c r="F1021" s="130">
        <v>19311.8</v>
      </c>
      <c r="G1021" s="130">
        <v>-3.29676E-2</v>
      </c>
      <c r="H1021" s="16">
        <v>12000000</v>
      </c>
      <c r="I1021">
        <v>3.1424599999999997E-2</v>
      </c>
    </row>
    <row r="1022" spans="1:9" x14ac:dyDescent="0.25">
      <c r="A1022" t="s">
        <v>374</v>
      </c>
      <c r="B1022" t="s">
        <v>128</v>
      </c>
      <c r="C1022">
        <v>2010</v>
      </c>
      <c r="D1022" s="130">
        <v>25.700001</v>
      </c>
      <c r="E1022" s="130">
        <v>0.5</v>
      </c>
      <c r="F1022" s="130">
        <v>20389.5</v>
      </c>
      <c r="G1022" s="130">
        <v>5.4303200000000003E-2</v>
      </c>
      <c r="H1022" s="16">
        <v>12000000</v>
      </c>
      <c r="I1022">
        <v>3.4308100000000001E-2</v>
      </c>
    </row>
    <row r="1023" spans="1:9" x14ac:dyDescent="0.25">
      <c r="A1023" t="s">
        <v>374</v>
      </c>
      <c r="B1023" t="s">
        <v>128</v>
      </c>
      <c r="C1023">
        <v>2011</v>
      </c>
      <c r="D1023" s="130">
        <v>23.4</v>
      </c>
      <c r="E1023" s="130">
        <v>-2.300001</v>
      </c>
      <c r="F1023" s="130">
        <v>21074.9</v>
      </c>
      <c r="G1023" s="130">
        <v>3.30639E-2</v>
      </c>
      <c r="H1023" s="16">
        <v>12000000</v>
      </c>
      <c r="I1023">
        <v>4.3193000000000002E-2</v>
      </c>
    </row>
    <row r="1024" spans="1:9" x14ac:dyDescent="0.25">
      <c r="A1024" t="s">
        <v>374</v>
      </c>
      <c r="B1024" t="s">
        <v>128</v>
      </c>
      <c r="C1024">
        <v>2012</v>
      </c>
      <c r="D1024" s="130">
        <v>25.1</v>
      </c>
      <c r="E1024" s="130">
        <v>1.7000010000000001</v>
      </c>
      <c r="F1024" s="130">
        <v>21897.3</v>
      </c>
      <c r="G1024" s="130">
        <v>3.8279500000000001E-2</v>
      </c>
      <c r="H1024" s="16">
        <v>13000000</v>
      </c>
      <c r="I1024">
        <v>4.3644799999999997E-2</v>
      </c>
    </row>
    <row r="1025" spans="1:9" x14ac:dyDescent="0.25">
      <c r="A1025" t="s">
        <v>374</v>
      </c>
      <c r="B1025" t="s">
        <v>128</v>
      </c>
      <c r="C1025">
        <v>2013</v>
      </c>
    </row>
    <row r="1026" spans="1:9" x14ac:dyDescent="0.25">
      <c r="A1026" t="s">
        <v>388</v>
      </c>
      <c r="B1026" t="s">
        <v>164</v>
      </c>
      <c r="C1026">
        <v>1990</v>
      </c>
      <c r="D1026" s="130">
        <v>12.4</v>
      </c>
      <c r="F1026" s="130">
        <v>30589.4</v>
      </c>
      <c r="H1026" s="16">
        <v>6900000</v>
      </c>
    </row>
    <row r="1027" spans="1:9" x14ac:dyDescent="0.25">
      <c r="A1027" t="s">
        <v>388</v>
      </c>
      <c r="B1027" t="s">
        <v>164</v>
      </c>
      <c r="C1027">
        <v>1991</v>
      </c>
      <c r="D1027" s="130">
        <v>11.4</v>
      </c>
      <c r="E1027" s="130">
        <v>-1</v>
      </c>
      <c r="F1027" s="130">
        <v>31089.5</v>
      </c>
      <c r="G1027" s="130">
        <v>1.6217200000000001E-2</v>
      </c>
      <c r="H1027" s="16">
        <v>7000000</v>
      </c>
      <c r="I1027">
        <v>1.7633599999999999E-2</v>
      </c>
    </row>
    <row r="1028" spans="1:9" x14ac:dyDescent="0.25">
      <c r="A1028" t="s">
        <v>388</v>
      </c>
      <c r="B1028" t="s">
        <v>164</v>
      </c>
      <c r="C1028">
        <v>1992</v>
      </c>
      <c r="D1028" s="130">
        <v>11.4</v>
      </c>
      <c r="E1028" s="130">
        <v>0</v>
      </c>
      <c r="F1028" s="130">
        <v>31381.8</v>
      </c>
      <c r="G1028" s="130">
        <v>9.3565000000000002E-3</v>
      </c>
      <c r="H1028" s="16">
        <v>7100000</v>
      </c>
      <c r="I1028">
        <v>1.47758E-2</v>
      </c>
    </row>
    <row r="1029" spans="1:9" x14ac:dyDescent="0.25">
      <c r="A1029" t="s">
        <v>388</v>
      </c>
      <c r="B1029" t="s">
        <v>164</v>
      </c>
      <c r="C1029">
        <v>1993</v>
      </c>
      <c r="D1029" s="130">
        <v>11.8</v>
      </c>
      <c r="E1029" s="130">
        <v>0.40000059999999998</v>
      </c>
      <c r="F1029" s="130">
        <v>31555.7</v>
      </c>
      <c r="G1029" s="130">
        <v>5.5275000000000003E-3</v>
      </c>
      <c r="H1029" s="16">
        <v>7200000</v>
      </c>
      <c r="I1029">
        <v>1.0045999999999999E-2</v>
      </c>
    </row>
    <row r="1030" spans="1:9" x14ac:dyDescent="0.25">
      <c r="A1030" t="s">
        <v>388</v>
      </c>
      <c r="B1030" t="s">
        <v>164</v>
      </c>
      <c r="C1030">
        <v>1994</v>
      </c>
      <c r="D1030" s="130">
        <v>12.4</v>
      </c>
      <c r="E1030" s="130">
        <v>0.59999939999999996</v>
      </c>
      <c r="F1030" s="130">
        <v>32294.799999999999</v>
      </c>
      <c r="G1030" s="130">
        <v>2.3151399999999999E-2</v>
      </c>
      <c r="H1030" s="16">
        <v>7300000</v>
      </c>
      <c r="I1030">
        <v>1.80453E-2</v>
      </c>
    </row>
    <row r="1031" spans="1:9" x14ac:dyDescent="0.25">
      <c r="A1031" t="s">
        <v>388</v>
      </c>
      <c r="B1031" t="s">
        <v>164</v>
      </c>
      <c r="C1031">
        <v>1995</v>
      </c>
      <c r="D1031" s="130">
        <v>12.7</v>
      </c>
      <c r="E1031" s="130">
        <v>0.30000019999999999</v>
      </c>
      <c r="F1031" s="130">
        <v>33137</v>
      </c>
      <c r="G1031" s="130">
        <v>2.5745400000000002E-2</v>
      </c>
      <c r="H1031" s="16">
        <v>7400000</v>
      </c>
      <c r="I1031">
        <v>1.16236E-2</v>
      </c>
    </row>
    <row r="1032" spans="1:9" x14ac:dyDescent="0.25">
      <c r="A1032" t="s">
        <v>388</v>
      </c>
      <c r="B1032" t="s">
        <v>164</v>
      </c>
      <c r="C1032">
        <v>1996</v>
      </c>
      <c r="D1032" s="130">
        <v>12.3</v>
      </c>
      <c r="E1032" s="130">
        <v>-0.39999960000000001</v>
      </c>
      <c r="F1032" s="130">
        <v>34108.1</v>
      </c>
      <c r="G1032" s="130">
        <v>2.8883900000000001E-2</v>
      </c>
      <c r="H1032" s="16">
        <v>7500000</v>
      </c>
      <c r="I1032">
        <v>1.52628E-2</v>
      </c>
    </row>
    <row r="1033" spans="1:9" x14ac:dyDescent="0.25">
      <c r="A1033" t="s">
        <v>388</v>
      </c>
      <c r="B1033" t="s">
        <v>164</v>
      </c>
      <c r="C1033">
        <v>1997</v>
      </c>
      <c r="D1033" s="130">
        <v>12.4</v>
      </c>
      <c r="E1033" s="130">
        <v>9.9999400000000002E-2</v>
      </c>
      <c r="F1033" s="130">
        <v>35384.800000000003</v>
      </c>
      <c r="G1033" s="130">
        <v>3.6747000000000002E-2</v>
      </c>
      <c r="H1033" s="16">
        <v>7700000</v>
      </c>
      <c r="I1033">
        <v>2.72634E-2</v>
      </c>
    </row>
    <row r="1034" spans="1:9" x14ac:dyDescent="0.25">
      <c r="A1034" t="s">
        <v>388</v>
      </c>
      <c r="B1034" t="s">
        <v>164</v>
      </c>
      <c r="C1034">
        <v>1998</v>
      </c>
      <c r="D1034" s="130">
        <v>11.6</v>
      </c>
      <c r="E1034" s="130">
        <v>-0.79999920000000002</v>
      </c>
      <c r="F1034" s="130">
        <v>36547.1</v>
      </c>
      <c r="G1034" s="130">
        <v>3.2318100000000002E-2</v>
      </c>
      <c r="H1034" s="16">
        <v>7800000</v>
      </c>
      <c r="I1034">
        <v>2.1408099999999999E-2</v>
      </c>
    </row>
    <row r="1035" spans="1:9" x14ac:dyDescent="0.25">
      <c r="A1035" t="s">
        <v>388</v>
      </c>
      <c r="B1035" t="s">
        <v>164</v>
      </c>
      <c r="C1035">
        <v>1999</v>
      </c>
      <c r="D1035" s="130">
        <v>11.5</v>
      </c>
      <c r="E1035" s="130">
        <v>-0.1000004</v>
      </c>
      <c r="F1035" s="130">
        <v>38005.300000000003</v>
      </c>
      <c r="G1035" s="130">
        <v>3.91245E-2</v>
      </c>
      <c r="H1035" s="16">
        <v>8000000</v>
      </c>
      <c r="I1035">
        <v>2.22715E-2</v>
      </c>
    </row>
    <row r="1036" spans="1:9" x14ac:dyDescent="0.25">
      <c r="A1036" t="s">
        <v>388</v>
      </c>
      <c r="B1036" t="s">
        <v>164</v>
      </c>
      <c r="C1036">
        <v>2000</v>
      </c>
      <c r="D1036" s="130">
        <v>11.2</v>
      </c>
      <c r="E1036" s="130">
        <v>-0.30000019999999999</v>
      </c>
      <c r="F1036" s="130">
        <v>39221.699999999997</v>
      </c>
      <c r="G1036" s="130">
        <v>3.1505600000000002E-2</v>
      </c>
      <c r="H1036" s="16">
        <v>8200000</v>
      </c>
      <c r="I1036">
        <v>2.6889199999999999E-2</v>
      </c>
    </row>
    <row r="1037" spans="1:9" x14ac:dyDescent="0.25">
      <c r="A1037" t="s">
        <v>388</v>
      </c>
      <c r="B1037" t="s">
        <v>164</v>
      </c>
      <c r="C1037">
        <v>2001</v>
      </c>
      <c r="D1037" s="130">
        <v>11.6</v>
      </c>
      <c r="E1037" s="130">
        <v>0.40000059999999998</v>
      </c>
      <c r="F1037" s="130">
        <v>39676.5</v>
      </c>
      <c r="G1037" s="130">
        <v>1.15271E-2</v>
      </c>
      <c r="H1037" s="16">
        <v>8300000</v>
      </c>
      <c r="I1037">
        <v>2.2008199999999999E-2</v>
      </c>
    </row>
    <row r="1038" spans="1:9" x14ac:dyDescent="0.25">
      <c r="A1038" t="s">
        <v>388</v>
      </c>
      <c r="B1038" t="s">
        <v>164</v>
      </c>
      <c r="C1038">
        <v>2002</v>
      </c>
      <c r="D1038" s="130">
        <v>11.7</v>
      </c>
      <c r="E1038" s="130">
        <v>9.9999400000000002E-2</v>
      </c>
      <c r="F1038" s="130">
        <v>39454.1</v>
      </c>
      <c r="G1038" s="130">
        <v>-5.62E-3</v>
      </c>
      <c r="H1038" s="16">
        <v>8500000</v>
      </c>
      <c r="I1038">
        <v>2.0945399999999999E-2</v>
      </c>
    </row>
    <row r="1039" spans="1:9" x14ac:dyDescent="0.25">
      <c r="A1039" t="s">
        <v>388</v>
      </c>
      <c r="B1039" t="s">
        <v>164</v>
      </c>
      <c r="C1039">
        <v>2003</v>
      </c>
      <c r="D1039" s="130">
        <v>11.4</v>
      </c>
      <c r="E1039" s="130">
        <v>-0.30000019999999999</v>
      </c>
      <c r="F1039" s="130">
        <v>39400.199999999997</v>
      </c>
      <c r="G1039" s="130">
        <v>-1.3676000000000001E-3</v>
      </c>
      <c r="H1039" s="16">
        <v>8500000</v>
      </c>
      <c r="I1039">
        <v>5.9512000000000002E-3</v>
      </c>
    </row>
    <row r="1040" spans="1:9" x14ac:dyDescent="0.25">
      <c r="A1040" t="s">
        <v>388</v>
      </c>
      <c r="B1040" t="s">
        <v>164</v>
      </c>
      <c r="C1040">
        <v>2004</v>
      </c>
      <c r="D1040" s="130">
        <v>12.1</v>
      </c>
      <c r="E1040" s="130">
        <v>0.70000079999999998</v>
      </c>
      <c r="F1040" s="130">
        <v>40141.699999999997</v>
      </c>
      <c r="G1040" s="130">
        <v>1.8644299999999999E-2</v>
      </c>
      <c r="H1040" s="16">
        <v>8600000</v>
      </c>
      <c r="I1040">
        <v>8.8400000000000006E-3</v>
      </c>
    </row>
    <row r="1041" spans="1:9" x14ac:dyDescent="0.25">
      <c r="A1041" t="s">
        <v>388</v>
      </c>
      <c r="B1041" t="s">
        <v>164</v>
      </c>
      <c r="C1041">
        <v>2005</v>
      </c>
      <c r="D1041" s="130">
        <v>12.4</v>
      </c>
      <c r="E1041" s="130">
        <v>0.29999920000000002</v>
      </c>
      <c r="F1041" s="130">
        <v>40867.5</v>
      </c>
      <c r="G1041" s="130">
        <v>1.7921400000000001E-2</v>
      </c>
      <c r="H1041" s="16">
        <v>8600000</v>
      </c>
      <c r="I1041">
        <v>4.3030999999999998E-3</v>
      </c>
    </row>
    <row r="1042" spans="1:9" x14ac:dyDescent="0.25">
      <c r="A1042" t="s">
        <v>388</v>
      </c>
      <c r="B1042" t="s">
        <v>164</v>
      </c>
      <c r="C1042">
        <v>2006</v>
      </c>
      <c r="D1042" s="130">
        <v>12.7</v>
      </c>
      <c r="E1042" s="130">
        <v>0.30000019999999999</v>
      </c>
      <c r="F1042" s="130">
        <v>42186.8</v>
      </c>
      <c r="G1042" s="130">
        <v>3.17717E-2</v>
      </c>
      <c r="H1042" s="16">
        <v>8700000</v>
      </c>
      <c r="I1042">
        <v>1.0015100000000001E-2</v>
      </c>
    </row>
    <row r="1043" spans="1:9" x14ac:dyDescent="0.25">
      <c r="A1043" t="s">
        <v>388</v>
      </c>
      <c r="B1043" t="s">
        <v>164</v>
      </c>
      <c r="C1043">
        <v>2007</v>
      </c>
      <c r="D1043" s="130">
        <v>13.2</v>
      </c>
      <c r="E1043" s="130">
        <v>0.5</v>
      </c>
      <c r="F1043" s="130">
        <v>43745.599999999999</v>
      </c>
      <c r="G1043" s="130">
        <v>3.6282500000000002E-2</v>
      </c>
      <c r="H1043" s="16">
        <v>8800000</v>
      </c>
      <c r="I1043">
        <v>2.31676E-2</v>
      </c>
    </row>
    <row r="1044" spans="1:9" x14ac:dyDescent="0.25">
      <c r="A1044" t="s">
        <v>388</v>
      </c>
      <c r="B1044" t="s">
        <v>164</v>
      </c>
      <c r="C1044">
        <v>2008</v>
      </c>
      <c r="D1044" s="130">
        <v>13.2</v>
      </c>
      <c r="E1044" s="130">
        <v>0</v>
      </c>
      <c r="F1044" s="130">
        <v>44361.7</v>
      </c>
      <c r="G1044" s="130">
        <v>1.39866E-2</v>
      </c>
      <c r="H1044" s="16">
        <v>8900000</v>
      </c>
      <c r="I1044">
        <v>1.8135800000000001E-2</v>
      </c>
    </row>
    <row r="1045" spans="1:9" x14ac:dyDescent="0.25">
      <c r="A1045" t="s">
        <v>388</v>
      </c>
      <c r="B1045" t="s">
        <v>164</v>
      </c>
      <c r="C1045">
        <v>2009</v>
      </c>
      <c r="D1045" s="130">
        <v>13.5</v>
      </c>
      <c r="E1045" s="130">
        <v>0.30000019999999999</v>
      </c>
      <c r="F1045" s="130">
        <v>42515.5</v>
      </c>
      <c r="G1045" s="130">
        <v>-4.25081E-2</v>
      </c>
      <c r="H1045" s="16">
        <v>9000000</v>
      </c>
      <c r="I1045">
        <v>1.2016499999999999E-2</v>
      </c>
    </row>
    <row r="1046" spans="1:9" x14ac:dyDescent="0.25">
      <c r="A1046" t="s">
        <v>388</v>
      </c>
      <c r="B1046" t="s">
        <v>164</v>
      </c>
      <c r="C1046">
        <v>2010</v>
      </c>
      <c r="D1046" s="130">
        <v>15</v>
      </c>
      <c r="E1046" s="130">
        <v>1.5</v>
      </c>
      <c r="F1046" s="130">
        <v>42944.2</v>
      </c>
      <c r="G1046" s="130">
        <v>1.00327E-2</v>
      </c>
      <c r="H1046" s="16">
        <v>8900000</v>
      </c>
      <c r="I1046">
        <v>-2.40895E-2</v>
      </c>
    </row>
    <row r="1047" spans="1:9" x14ac:dyDescent="0.25">
      <c r="A1047" t="s">
        <v>388</v>
      </c>
      <c r="B1047" t="s">
        <v>164</v>
      </c>
      <c r="C1047">
        <v>2011</v>
      </c>
      <c r="D1047" s="130">
        <v>15</v>
      </c>
      <c r="E1047" s="130">
        <v>0</v>
      </c>
      <c r="F1047" s="130">
        <v>43148.1</v>
      </c>
      <c r="G1047" s="130">
        <v>4.7368999999999996E-3</v>
      </c>
      <c r="H1047" s="16">
        <v>8900000</v>
      </c>
      <c r="I1047">
        <v>2.4976999999999998E-3</v>
      </c>
    </row>
    <row r="1048" spans="1:9" x14ac:dyDescent="0.25">
      <c r="A1048" t="s">
        <v>388</v>
      </c>
      <c r="B1048" t="s">
        <v>164</v>
      </c>
      <c r="C1048">
        <v>2012</v>
      </c>
      <c r="D1048" s="130">
        <v>15.3</v>
      </c>
      <c r="E1048" s="130">
        <v>0.30000019999999999</v>
      </c>
      <c r="F1048" s="130">
        <v>42452.6</v>
      </c>
      <c r="G1048" s="130">
        <v>-1.62506E-2</v>
      </c>
      <c r="H1048" s="16">
        <v>9000000</v>
      </c>
      <c r="I1048">
        <v>1.4951799999999999E-2</v>
      </c>
    </row>
    <row r="1049" spans="1:9" x14ac:dyDescent="0.25">
      <c r="A1049" t="s">
        <v>388</v>
      </c>
      <c r="B1049" t="s">
        <v>164</v>
      </c>
      <c r="C1049">
        <v>2013</v>
      </c>
    </row>
    <row r="1050" spans="1:9" x14ac:dyDescent="0.25">
      <c r="A1050" t="s">
        <v>393</v>
      </c>
      <c r="B1050" t="s">
        <v>175</v>
      </c>
      <c r="C1050">
        <v>1990</v>
      </c>
      <c r="D1050" s="130">
        <v>11.3</v>
      </c>
      <c r="F1050" s="130">
        <v>42810.9</v>
      </c>
      <c r="H1050" s="16">
        <v>2200000</v>
      </c>
    </row>
    <row r="1051" spans="1:9" x14ac:dyDescent="0.25">
      <c r="A1051" t="s">
        <v>393</v>
      </c>
      <c r="B1051" t="s">
        <v>175</v>
      </c>
      <c r="C1051">
        <v>1991</v>
      </c>
      <c r="D1051" s="130">
        <v>10.8</v>
      </c>
      <c r="E1051" s="130">
        <v>-0.5</v>
      </c>
      <c r="F1051" s="130">
        <v>43930.5</v>
      </c>
      <c r="G1051" s="130">
        <v>2.58169E-2</v>
      </c>
      <c r="H1051" s="16">
        <v>2100000</v>
      </c>
      <c r="I1051">
        <v>-1.12496E-2</v>
      </c>
    </row>
    <row r="1052" spans="1:9" x14ac:dyDescent="0.25">
      <c r="A1052" t="s">
        <v>393</v>
      </c>
      <c r="B1052" t="s">
        <v>175</v>
      </c>
      <c r="C1052">
        <v>1992</v>
      </c>
      <c r="D1052" s="130">
        <v>10.3</v>
      </c>
      <c r="E1052" s="130">
        <v>-0.5</v>
      </c>
      <c r="F1052" s="130">
        <v>45216.5</v>
      </c>
      <c r="G1052" s="130">
        <v>2.8853400000000001E-2</v>
      </c>
      <c r="H1052" s="16">
        <v>2100000</v>
      </c>
      <c r="I1052">
        <v>-8.6299999999999997E-5</v>
      </c>
    </row>
    <row r="1053" spans="1:9" x14ac:dyDescent="0.25">
      <c r="A1053" t="s">
        <v>393</v>
      </c>
      <c r="B1053" t="s">
        <v>175</v>
      </c>
      <c r="C1053">
        <v>1993</v>
      </c>
      <c r="D1053" s="130">
        <v>10.199999999999999</v>
      </c>
      <c r="E1053" s="130">
        <v>-0.1000004</v>
      </c>
      <c r="F1053" s="130">
        <v>46200.7</v>
      </c>
      <c r="G1053" s="130">
        <v>2.1532099999999998E-2</v>
      </c>
      <c r="H1053" s="16">
        <v>2100000</v>
      </c>
      <c r="I1053">
        <v>-5.6610000000000005E-4</v>
      </c>
    </row>
    <row r="1054" spans="1:9" x14ac:dyDescent="0.25">
      <c r="A1054" t="s">
        <v>393</v>
      </c>
      <c r="B1054" t="s">
        <v>175</v>
      </c>
      <c r="C1054">
        <v>1994</v>
      </c>
      <c r="D1054" s="130">
        <v>9.6999998000000005</v>
      </c>
      <c r="E1054" s="130">
        <v>-0.5</v>
      </c>
      <c r="F1054" s="130">
        <v>48259</v>
      </c>
      <c r="G1054" s="130">
        <v>4.3586699999999999E-2</v>
      </c>
      <c r="H1054" s="16">
        <v>2200000</v>
      </c>
      <c r="I1054">
        <v>1.0171100000000001E-2</v>
      </c>
    </row>
    <row r="1055" spans="1:9" x14ac:dyDescent="0.25">
      <c r="A1055" t="s">
        <v>393</v>
      </c>
      <c r="B1055" t="s">
        <v>175</v>
      </c>
      <c r="C1055">
        <v>1995</v>
      </c>
      <c r="D1055" s="130">
        <v>9.5</v>
      </c>
      <c r="E1055" s="130">
        <v>-0.19999980000000001</v>
      </c>
      <c r="F1055" s="130">
        <v>50018.9</v>
      </c>
      <c r="G1055" s="130">
        <v>3.58191E-2</v>
      </c>
      <c r="H1055" s="16">
        <v>2200000</v>
      </c>
      <c r="I1055">
        <v>1.4596E-2</v>
      </c>
    </row>
    <row r="1056" spans="1:9" x14ac:dyDescent="0.25">
      <c r="A1056" t="s">
        <v>393</v>
      </c>
      <c r="B1056" t="s">
        <v>175</v>
      </c>
      <c r="C1056">
        <v>1996</v>
      </c>
      <c r="D1056" s="130">
        <v>8.8000001999999995</v>
      </c>
      <c r="E1056" s="130">
        <v>-0.69999979999999995</v>
      </c>
      <c r="F1056" s="130">
        <v>52304</v>
      </c>
      <c r="G1056" s="130">
        <v>4.4671099999999998E-2</v>
      </c>
      <c r="H1056" s="16">
        <v>2300000</v>
      </c>
      <c r="I1056">
        <v>2.7643999999999998E-2</v>
      </c>
    </row>
    <row r="1057" spans="1:9" x14ac:dyDescent="0.25">
      <c r="A1057" t="s">
        <v>393</v>
      </c>
      <c r="B1057" t="s">
        <v>175</v>
      </c>
      <c r="C1057">
        <v>1997</v>
      </c>
      <c r="D1057" s="130">
        <v>8.3999995999999992</v>
      </c>
      <c r="E1057" s="130">
        <v>-0.40000059999999998</v>
      </c>
      <c r="F1057" s="130">
        <v>54826.400000000001</v>
      </c>
      <c r="G1057" s="130">
        <v>4.7100099999999999E-2</v>
      </c>
      <c r="H1057" s="16">
        <v>2300000</v>
      </c>
      <c r="I1057">
        <v>2.3432000000000001E-2</v>
      </c>
    </row>
    <row r="1058" spans="1:9" x14ac:dyDescent="0.25">
      <c r="A1058" t="s">
        <v>393</v>
      </c>
      <c r="B1058" t="s">
        <v>175</v>
      </c>
      <c r="C1058">
        <v>1998</v>
      </c>
      <c r="D1058" s="130">
        <v>8.5</v>
      </c>
      <c r="E1058" s="130">
        <v>0.1000004</v>
      </c>
      <c r="F1058" s="130">
        <v>55963.1</v>
      </c>
      <c r="G1058" s="130">
        <v>2.0520199999999999E-2</v>
      </c>
      <c r="H1058" s="16">
        <v>2300000</v>
      </c>
      <c r="I1058">
        <v>1.79068E-2</v>
      </c>
    </row>
    <row r="1059" spans="1:9" x14ac:dyDescent="0.25">
      <c r="A1059" t="s">
        <v>393</v>
      </c>
      <c r="B1059" t="s">
        <v>175</v>
      </c>
      <c r="C1059">
        <v>1999</v>
      </c>
      <c r="D1059" s="130">
        <v>7.6999997999999996</v>
      </c>
      <c r="E1059" s="130">
        <v>-0.80000020000000005</v>
      </c>
      <c r="F1059" s="130">
        <v>56707.1</v>
      </c>
      <c r="G1059" s="130">
        <v>1.3207399999999999E-2</v>
      </c>
      <c r="H1059" s="16">
        <v>2400000</v>
      </c>
      <c r="I1059">
        <v>4.6535999999999999E-3</v>
      </c>
    </row>
    <row r="1060" spans="1:9" x14ac:dyDescent="0.25">
      <c r="A1060" t="s">
        <v>393</v>
      </c>
      <c r="B1060" t="s">
        <v>175</v>
      </c>
      <c r="C1060">
        <v>2000</v>
      </c>
      <c r="D1060" s="130">
        <v>7.5</v>
      </c>
      <c r="E1060" s="130">
        <v>-0.19999980000000001</v>
      </c>
      <c r="F1060" s="130">
        <v>58173.3</v>
      </c>
      <c r="G1060" s="130">
        <v>2.5527999999999999E-2</v>
      </c>
      <c r="H1060" s="16">
        <v>2400000</v>
      </c>
      <c r="I1060">
        <v>8.1303999999999994E-3</v>
      </c>
    </row>
    <row r="1061" spans="1:9" x14ac:dyDescent="0.25">
      <c r="A1061" t="s">
        <v>393</v>
      </c>
      <c r="B1061" t="s">
        <v>175</v>
      </c>
      <c r="C1061">
        <v>2001</v>
      </c>
      <c r="D1061" s="130">
        <v>7.3000002000000004</v>
      </c>
      <c r="E1061" s="130">
        <v>-0.19999980000000001</v>
      </c>
      <c r="F1061" s="130">
        <v>59031.5</v>
      </c>
      <c r="G1061" s="130">
        <v>1.4644600000000001E-2</v>
      </c>
      <c r="H1061" s="16">
        <v>2400000</v>
      </c>
      <c r="I1061">
        <v>3.8742999999999998E-3</v>
      </c>
    </row>
    <row r="1062" spans="1:9" x14ac:dyDescent="0.25">
      <c r="A1062" t="s">
        <v>393</v>
      </c>
      <c r="B1062" t="s">
        <v>175</v>
      </c>
      <c r="C1062">
        <v>2002</v>
      </c>
      <c r="D1062" s="130">
        <v>7.3000002000000004</v>
      </c>
      <c r="E1062" s="130">
        <v>0</v>
      </c>
      <c r="F1062" s="130">
        <v>59596</v>
      </c>
      <c r="G1062" s="130">
        <v>9.5157999999999996E-3</v>
      </c>
      <c r="H1062" s="16">
        <v>2400000</v>
      </c>
      <c r="I1062">
        <v>9.8560000000000002E-3</v>
      </c>
    </row>
    <row r="1063" spans="1:9" x14ac:dyDescent="0.25">
      <c r="A1063" t="s">
        <v>393</v>
      </c>
      <c r="B1063" t="s">
        <v>175</v>
      </c>
      <c r="C1063">
        <v>2003</v>
      </c>
      <c r="D1063" s="130">
        <v>7.4000000999999997</v>
      </c>
      <c r="E1063" s="130">
        <v>9.9999900000000003E-2</v>
      </c>
      <c r="F1063" s="130">
        <v>59828.6</v>
      </c>
      <c r="G1063" s="130">
        <v>3.8958E-3</v>
      </c>
      <c r="H1063" s="16">
        <v>2400000</v>
      </c>
      <c r="I1063">
        <v>-4.1701999999999998E-3</v>
      </c>
    </row>
    <row r="1064" spans="1:9" x14ac:dyDescent="0.25">
      <c r="A1064" t="s">
        <v>393</v>
      </c>
      <c r="B1064" t="s">
        <v>175</v>
      </c>
      <c r="C1064">
        <v>2004</v>
      </c>
      <c r="D1064" s="130">
        <v>7.5</v>
      </c>
      <c r="E1064" s="130">
        <v>9.9999900000000003E-2</v>
      </c>
      <c r="F1064" s="130">
        <v>61832</v>
      </c>
      <c r="G1064" s="130">
        <v>3.2937000000000001E-2</v>
      </c>
      <c r="H1064" s="16">
        <v>2400000</v>
      </c>
      <c r="I1064">
        <v>6.404E-3</v>
      </c>
    </row>
    <row r="1065" spans="1:9" x14ac:dyDescent="0.25">
      <c r="A1065" t="s">
        <v>393</v>
      </c>
      <c r="B1065" t="s">
        <v>175</v>
      </c>
      <c r="C1065">
        <v>2005</v>
      </c>
      <c r="D1065" s="130">
        <v>7.4000000999999997</v>
      </c>
      <c r="E1065" s="130">
        <v>-9.9999900000000003E-2</v>
      </c>
      <c r="F1065" s="130">
        <v>63002.2</v>
      </c>
      <c r="G1065" s="130">
        <v>1.8749200000000001E-2</v>
      </c>
      <c r="H1065" s="16">
        <v>2400000</v>
      </c>
      <c r="I1065">
        <v>7.8025000000000004E-3</v>
      </c>
    </row>
    <row r="1066" spans="1:9" x14ac:dyDescent="0.25">
      <c r="A1066" t="s">
        <v>393</v>
      </c>
      <c r="B1066" t="s">
        <v>175</v>
      </c>
      <c r="C1066">
        <v>2006</v>
      </c>
      <c r="D1066" s="130">
        <v>8.5</v>
      </c>
      <c r="E1066" s="130">
        <v>1.1000000000000001</v>
      </c>
      <c r="F1066" s="130">
        <v>63933.5</v>
      </c>
      <c r="G1066" s="130">
        <v>1.4673200000000001E-2</v>
      </c>
      <c r="H1066" s="16">
        <v>2500000</v>
      </c>
      <c r="I1066">
        <v>1.30639E-2</v>
      </c>
    </row>
    <row r="1067" spans="1:9" x14ac:dyDescent="0.25">
      <c r="A1067" t="s">
        <v>393</v>
      </c>
      <c r="B1067" t="s">
        <v>175</v>
      </c>
      <c r="C1067">
        <v>2007</v>
      </c>
      <c r="D1067" s="130">
        <v>8</v>
      </c>
      <c r="E1067" s="130">
        <v>-0.5</v>
      </c>
      <c r="F1067" s="130">
        <v>64954.1</v>
      </c>
      <c r="G1067" s="130">
        <v>1.58377E-2</v>
      </c>
      <c r="H1067" s="16">
        <v>2500000</v>
      </c>
      <c r="I1067">
        <v>2.8381799999999999E-2</v>
      </c>
    </row>
    <row r="1068" spans="1:9" x14ac:dyDescent="0.25">
      <c r="A1068" t="s">
        <v>393</v>
      </c>
      <c r="B1068" t="s">
        <v>175</v>
      </c>
      <c r="C1068">
        <v>2008</v>
      </c>
      <c r="D1068" s="130">
        <v>7.8000002000000004</v>
      </c>
      <c r="E1068" s="130">
        <v>-0.19999980000000001</v>
      </c>
      <c r="F1068" s="130">
        <v>64192.9</v>
      </c>
      <c r="G1068" s="130">
        <v>-1.1788399999999999E-2</v>
      </c>
      <c r="H1068" s="16">
        <v>2600000</v>
      </c>
      <c r="I1068">
        <v>3.5022900000000003E-2</v>
      </c>
    </row>
    <row r="1069" spans="1:9" x14ac:dyDescent="0.25">
      <c r="A1069" t="s">
        <v>393</v>
      </c>
      <c r="B1069" t="s">
        <v>175</v>
      </c>
      <c r="C1069">
        <v>2009</v>
      </c>
      <c r="D1069" s="130">
        <v>8.1000004000000008</v>
      </c>
      <c r="E1069" s="130">
        <v>0.30000019999999999</v>
      </c>
      <c r="F1069" s="130">
        <v>62352.1</v>
      </c>
      <c r="G1069" s="130">
        <v>-2.9095599999999999E-2</v>
      </c>
      <c r="H1069" s="16">
        <v>2600000</v>
      </c>
      <c r="I1069">
        <v>1.4242E-3</v>
      </c>
    </row>
    <row r="1070" spans="1:9" x14ac:dyDescent="0.25">
      <c r="A1070" t="s">
        <v>393</v>
      </c>
      <c r="B1070" t="s">
        <v>175</v>
      </c>
      <c r="C1070">
        <v>2010</v>
      </c>
      <c r="D1070" s="130">
        <v>7.6999997999999996</v>
      </c>
      <c r="E1070" s="130">
        <v>-0.40000059999999998</v>
      </c>
      <c r="F1070" s="130">
        <v>61874.6</v>
      </c>
      <c r="G1070" s="130">
        <v>-7.6866E-3</v>
      </c>
      <c r="H1070" s="16">
        <v>2600000</v>
      </c>
      <c r="I1070">
        <v>6.0378000000000003E-3</v>
      </c>
    </row>
    <row r="1071" spans="1:9" x14ac:dyDescent="0.25">
      <c r="A1071" t="s">
        <v>393</v>
      </c>
      <c r="B1071" t="s">
        <v>175</v>
      </c>
      <c r="C1071">
        <v>2011</v>
      </c>
      <c r="D1071" s="130">
        <v>7</v>
      </c>
      <c r="E1071" s="130">
        <v>-0.69999979999999995</v>
      </c>
      <c r="F1071" s="130">
        <v>61896.4</v>
      </c>
      <c r="G1071" s="130">
        <v>3.5100000000000002E-4</v>
      </c>
      <c r="H1071" s="16">
        <v>2600000</v>
      </c>
      <c r="I1071">
        <v>1.16215E-2</v>
      </c>
    </row>
    <row r="1072" spans="1:9" x14ac:dyDescent="0.25">
      <c r="A1072" t="s">
        <v>393</v>
      </c>
      <c r="B1072" t="s">
        <v>175</v>
      </c>
      <c r="C1072">
        <v>2012</v>
      </c>
      <c r="D1072" s="130">
        <v>6.9000000999999997</v>
      </c>
      <c r="E1072" s="130">
        <v>-9.9999900000000003E-2</v>
      </c>
      <c r="F1072" s="130">
        <v>62858</v>
      </c>
      <c r="G1072" s="130">
        <v>1.54171E-2</v>
      </c>
      <c r="H1072" s="16">
        <v>2700000</v>
      </c>
      <c r="I1072">
        <v>1.8942199999999999E-2</v>
      </c>
    </row>
    <row r="1073" spans="1:9" x14ac:dyDescent="0.25">
      <c r="A1073" t="s">
        <v>393</v>
      </c>
      <c r="B1073" t="s">
        <v>175</v>
      </c>
      <c r="C1073">
        <v>2013</v>
      </c>
    </row>
    <row r="1074" spans="1:9" x14ac:dyDescent="0.25">
      <c r="A1074" t="s">
        <v>390</v>
      </c>
      <c r="B1074" t="s">
        <v>150</v>
      </c>
      <c r="C1074">
        <v>1990</v>
      </c>
      <c r="D1074" s="130">
        <v>19.700001</v>
      </c>
      <c r="F1074" s="130">
        <v>23771.200000000001</v>
      </c>
      <c r="H1074" s="16">
        <v>1600000</v>
      </c>
    </row>
    <row r="1075" spans="1:9" x14ac:dyDescent="0.25">
      <c r="A1075" t="s">
        <v>390</v>
      </c>
      <c r="B1075" t="s">
        <v>150</v>
      </c>
      <c r="C1075">
        <v>1991</v>
      </c>
      <c r="D1075" s="130">
        <v>20.5</v>
      </c>
      <c r="E1075" s="130">
        <v>0.79999920000000002</v>
      </c>
      <c r="F1075" s="130">
        <v>22392.9</v>
      </c>
      <c r="G1075" s="130">
        <v>-5.9729600000000001E-2</v>
      </c>
      <c r="H1075" s="16">
        <v>1700000</v>
      </c>
      <c r="I1075">
        <v>4.62213E-2</v>
      </c>
    </row>
    <row r="1076" spans="1:9" x14ac:dyDescent="0.25">
      <c r="A1076" t="s">
        <v>390</v>
      </c>
      <c r="B1076" t="s">
        <v>150</v>
      </c>
      <c r="C1076">
        <v>1992</v>
      </c>
      <c r="D1076" s="130">
        <v>21.299999</v>
      </c>
      <c r="E1076" s="130">
        <v>0.79999920000000002</v>
      </c>
      <c r="F1076" s="130">
        <v>22365.3</v>
      </c>
      <c r="G1076" s="130">
        <v>-1.2340999999999999E-3</v>
      </c>
      <c r="H1076" s="16">
        <v>1700000</v>
      </c>
      <c r="I1076">
        <v>5.1354E-3</v>
      </c>
    </row>
    <row r="1077" spans="1:9" x14ac:dyDescent="0.25">
      <c r="A1077" t="s">
        <v>390</v>
      </c>
      <c r="B1077" t="s">
        <v>150</v>
      </c>
      <c r="C1077">
        <v>1993</v>
      </c>
      <c r="D1077" s="130">
        <v>21.200001</v>
      </c>
      <c r="E1077" s="130">
        <v>-9.9998500000000004E-2</v>
      </c>
      <c r="F1077" s="130">
        <v>23481.9</v>
      </c>
      <c r="G1077" s="130">
        <v>4.8722300000000003E-2</v>
      </c>
      <c r="H1077" s="16">
        <v>1700000</v>
      </c>
      <c r="I1077">
        <v>1.0755300000000001E-2</v>
      </c>
    </row>
    <row r="1078" spans="1:9" x14ac:dyDescent="0.25">
      <c r="A1078" t="s">
        <v>390</v>
      </c>
      <c r="B1078" t="s">
        <v>150</v>
      </c>
      <c r="C1078">
        <v>1994</v>
      </c>
      <c r="D1078" s="130">
        <v>21.1</v>
      </c>
      <c r="E1078" s="130">
        <v>-0.1000004</v>
      </c>
      <c r="F1078" s="130">
        <v>24310.400000000001</v>
      </c>
      <c r="G1078" s="130">
        <v>3.46746E-2</v>
      </c>
      <c r="H1078" s="16">
        <v>1800000</v>
      </c>
      <c r="I1078">
        <v>2.8084999999999999E-2</v>
      </c>
    </row>
    <row r="1079" spans="1:9" x14ac:dyDescent="0.25">
      <c r="A1079" t="s">
        <v>390</v>
      </c>
      <c r="B1079" t="s">
        <v>150</v>
      </c>
      <c r="C1079">
        <v>1995</v>
      </c>
      <c r="D1079" s="130">
        <v>21</v>
      </c>
      <c r="E1079" s="130">
        <v>-0.1000004</v>
      </c>
      <c r="F1079" s="130">
        <v>24964.3</v>
      </c>
      <c r="G1079" s="130">
        <v>2.65408E-2</v>
      </c>
      <c r="H1079" s="16">
        <v>1800000</v>
      </c>
      <c r="I1079">
        <v>2.66932E-2</v>
      </c>
    </row>
    <row r="1080" spans="1:9" x14ac:dyDescent="0.25">
      <c r="A1080" t="s">
        <v>390</v>
      </c>
      <c r="B1080" t="s">
        <v>150</v>
      </c>
      <c r="C1080">
        <v>1996</v>
      </c>
      <c r="D1080" s="130">
        <v>20.9</v>
      </c>
      <c r="E1080" s="130">
        <v>-0.1000004</v>
      </c>
      <c r="F1080" s="130">
        <v>25394.799999999999</v>
      </c>
      <c r="G1080" s="130">
        <v>1.7097500000000002E-2</v>
      </c>
      <c r="H1080" s="16">
        <v>1900000</v>
      </c>
      <c r="I1080">
        <v>3.2176900000000001E-2</v>
      </c>
    </row>
    <row r="1081" spans="1:9" x14ac:dyDescent="0.25">
      <c r="A1081" t="s">
        <v>390</v>
      </c>
      <c r="B1081" t="s">
        <v>150</v>
      </c>
      <c r="C1081">
        <v>1997</v>
      </c>
      <c r="D1081" s="130">
        <v>20.100000000000001</v>
      </c>
      <c r="E1081" s="130">
        <v>-0.79999920000000002</v>
      </c>
      <c r="F1081" s="130">
        <v>25801.4</v>
      </c>
      <c r="G1081" s="130">
        <v>1.5882500000000001E-2</v>
      </c>
      <c r="H1081" s="16">
        <v>1900000</v>
      </c>
      <c r="I1081">
        <v>1.1938600000000001E-2</v>
      </c>
    </row>
    <row r="1082" spans="1:9" x14ac:dyDescent="0.25">
      <c r="A1082" t="s">
        <v>390</v>
      </c>
      <c r="B1082" t="s">
        <v>150</v>
      </c>
      <c r="C1082">
        <v>1998</v>
      </c>
      <c r="D1082" s="130">
        <v>20.399999999999999</v>
      </c>
      <c r="E1082" s="130">
        <v>0.29999920000000002</v>
      </c>
      <c r="F1082" s="130">
        <v>25930.7</v>
      </c>
      <c r="G1082" s="130">
        <v>5.0010999999999996E-3</v>
      </c>
      <c r="H1082" s="16">
        <v>1900000</v>
      </c>
      <c r="I1082">
        <v>3.7867E-3</v>
      </c>
    </row>
    <row r="1083" spans="1:9" x14ac:dyDescent="0.25">
      <c r="A1083" t="s">
        <v>390</v>
      </c>
      <c r="B1083" t="s">
        <v>150</v>
      </c>
      <c r="C1083">
        <v>1999</v>
      </c>
      <c r="D1083" s="130">
        <v>21</v>
      </c>
      <c r="E1083" s="130">
        <v>0.60000039999999999</v>
      </c>
      <c r="F1083" s="130">
        <v>27140.6</v>
      </c>
      <c r="G1083" s="130">
        <v>4.5601799999999998E-2</v>
      </c>
      <c r="H1083" s="16">
        <v>1900000</v>
      </c>
      <c r="I1083">
        <v>9.2052000000000002E-3</v>
      </c>
    </row>
    <row r="1084" spans="1:9" x14ac:dyDescent="0.25">
      <c r="A1084" t="s">
        <v>390</v>
      </c>
      <c r="B1084" t="s">
        <v>150</v>
      </c>
      <c r="C1084">
        <v>2000</v>
      </c>
      <c r="D1084" s="130">
        <v>20.6</v>
      </c>
      <c r="E1084" s="130">
        <v>-0.39999960000000001</v>
      </c>
      <c r="F1084" s="130">
        <v>27629.9</v>
      </c>
      <c r="G1084" s="130">
        <v>1.78671E-2</v>
      </c>
      <c r="H1084" s="16">
        <v>1900000</v>
      </c>
      <c r="I1084">
        <v>1.25836E-2</v>
      </c>
    </row>
    <row r="1085" spans="1:9" x14ac:dyDescent="0.25">
      <c r="A1085" t="s">
        <v>390</v>
      </c>
      <c r="B1085" t="s">
        <v>150</v>
      </c>
      <c r="C1085">
        <v>2001</v>
      </c>
      <c r="D1085" s="130">
        <v>19.700001</v>
      </c>
      <c r="E1085" s="130">
        <v>-0.89999960000000001</v>
      </c>
      <c r="F1085" s="130">
        <v>28492</v>
      </c>
      <c r="G1085" s="130">
        <v>3.0726400000000001E-2</v>
      </c>
      <c r="H1085" s="16">
        <v>2000000</v>
      </c>
      <c r="I1085">
        <v>2.2770800000000001E-2</v>
      </c>
    </row>
    <row r="1086" spans="1:9" x14ac:dyDescent="0.25">
      <c r="A1086" t="s">
        <v>390</v>
      </c>
      <c r="B1086" t="s">
        <v>150</v>
      </c>
      <c r="C1086">
        <v>2002</v>
      </c>
      <c r="D1086" s="130">
        <v>19.200001</v>
      </c>
      <c r="E1086" s="130">
        <v>-0.5</v>
      </c>
      <c r="F1086" s="130">
        <v>29400.7</v>
      </c>
      <c r="G1086" s="130">
        <v>3.1393999999999998E-2</v>
      </c>
      <c r="H1086" s="16">
        <v>2000000</v>
      </c>
      <c r="I1086">
        <v>3.8003200000000001E-2</v>
      </c>
    </row>
    <row r="1087" spans="1:9" x14ac:dyDescent="0.25">
      <c r="A1087" t="s">
        <v>390</v>
      </c>
      <c r="B1087" t="s">
        <v>150</v>
      </c>
      <c r="C1087">
        <v>2003</v>
      </c>
      <c r="D1087" s="130">
        <v>19.200001</v>
      </c>
      <c r="E1087" s="130">
        <v>0</v>
      </c>
      <c r="F1087" s="130">
        <v>29996.400000000001</v>
      </c>
      <c r="G1087" s="130">
        <v>2.00596E-2</v>
      </c>
      <c r="H1087" s="16">
        <v>2100000</v>
      </c>
      <c r="I1087">
        <v>2.5200199999999999E-2</v>
      </c>
    </row>
    <row r="1088" spans="1:9" x14ac:dyDescent="0.25">
      <c r="A1088" t="s">
        <v>390</v>
      </c>
      <c r="B1088" t="s">
        <v>150</v>
      </c>
      <c r="C1088">
        <v>2004</v>
      </c>
      <c r="D1088" s="130">
        <v>19</v>
      </c>
      <c r="E1088" s="130">
        <v>-0.20000080000000001</v>
      </c>
      <c r="F1088" s="130">
        <v>30636.2</v>
      </c>
      <c r="G1088" s="130">
        <v>2.1105800000000001E-2</v>
      </c>
      <c r="H1088" s="16">
        <v>2100000</v>
      </c>
      <c r="I1088">
        <v>3.3234199999999998E-2</v>
      </c>
    </row>
    <row r="1089" spans="1:9" x14ac:dyDescent="0.25">
      <c r="A1089" t="s">
        <v>390</v>
      </c>
      <c r="B1089" t="s">
        <v>150</v>
      </c>
      <c r="C1089">
        <v>2005</v>
      </c>
      <c r="D1089" s="130">
        <v>18.299999</v>
      </c>
      <c r="E1089" s="130">
        <v>-0.70000079999999998</v>
      </c>
      <c r="F1089" s="130">
        <v>31312.799999999999</v>
      </c>
      <c r="G1089" s="130">
        <v>2.1845799999999999E-2</v>
      </c>
      <c r="H1089" s="16">
        <v>2200000</v>
      </c>
      <c r="I1089">
        <v>3.5067099999999997E-2</v>
      </c>
    </row>
    <row r="1090" spans="1:9" x14ac:dyDescent="0.25">
      <c r="A1090" t="s">
        <v>390</v>
      </c>
      <c r="B1090" t="s">
        <v>150</v>
      </c>
      <c r="C1090">
        <v>2006</v>
      </c>
      <c r="D1090" s="130">
        <v>17.5</v>
      </c>
      <c r="E1090" s="130">
        <v>-0.79999920000000002</v>
      </c>
      <c r="F1090" s="130">
        <v>31443.9</v>
      </c>
      <c r="G1090" s="130">
        <v>4.1771000000000004E-3</v>
      </c>
      <c r="H1090" s="16">
        <v>2200000</v>
      </c>
      <c r="I1090">
        <v>3.2817800000000001E-2</v>
      </c>
    </row>
    <row r="1091" spans="1:9" x14ac:dyDescent="0.25">
      <c r="A1091" t="s">
        <v>390</v>
      </c>
      <c r="B1091" t="s">
        <v>150</v>
      </c>
      <c r="C1091">
        <v>2007</v>
      </c>
      <c r="D1091" s="130">
        <v>17.100000000000001</v>
      </c>
      <c r="E1091" s="130">
        <v>-0.39999960000000001</v>
      </c>
      <c r="F1091" s="130">
        <v>32215.1</v>
      </c>
      <c r="G1091" s="130">
        <v>2.4228099999999999E-2</v>
      </c>
      <c r="H1091" s="16">
        <v>2300000</v>
      </c>
      <c r="I1091">
        <v>2.2593700000000001E-2</v>
      </c>
    </row>
    <row r="1092" spans="1:9" x14ac:dyDescent="0.25">
      <c r="A1092" t="s">
        <v>390</v>
      </c>
      <c r="B1092" t="s">
        <v>150</v>
      </c>
      <c r="C1092">
        <v>2008</v>
      </c>
      <c r="D1092" s="130">
        <v>17.100000000000001</v>
      </c>
      <c r="E1092" s="130">
        <v>0</v>
      </c>
      <c r="F1092" s="130">
        <v>31346.7</v>
      </c>
      <c r="G1092" s="130">
        <v>-2.7323699999999999E-2</v>
      </c>
      <c r="H1092" s="16">
        <v>2300000</v>
      </c>
      <c r="I1092">
        <v>1.73081E-2</v>
      </c>
    </row>
    <row r="1093" spans="1:9" x14ac:dyDescent="0.25">
      <c r="A1093" t="s">
        <v>390</v>
      </c>
      <c r="B1093" t="s">
        <v>150</v>
      </c>
      <c r="C1093">
        <v>2009</v>
      </c>
      <c r="D1093" s="130">
        <v>16.299999</v>
      </c>
      <c r="E1093" s="130">
        <v>-0.80000110000000002</v>
      </c>
      <c r="F1093" s="130">
        <v>31471.1</v>
      </c>
      <c r="G1093" s="130">
        <v>3.9597E-3</v>
      </c>
      <c r="H1093" s="16">
        <v>2300000</v>
      </c>
      <c r="I1093">
        <v>1.48097E-2</v>
      </c>
    </row>
    <row r="1094" spans="1:9" x14ac:dyDescent="0.25">
      <c r="A1094" t="s">
        <v>390</v>
      </c>
      <c r="B1094" t="s">
        <v>150</v>
      </c>
      <c r="C1094">
        <v>2010</v>
      </c>
      <c r="D1094" s="130">
        <v>16.100000000000001</v>
      </c>
      <c r="E1094" s="130">
        <v>-0.19999890000000001</v>
      </c>
      <c r="F1094" s="130">
        <v>31143.599999999999</v>
      </c>
      <c r="G1094" s="130">
        <v>-1.0459899999999999E-2</v>
      </c>
      <c r="H1094" s="16">
        <v>2400000</v>
      </c>
      <c r="I1094">
        <v>1.59014E-2</v>
      </c>
    </row>
    <row r="1095" spans="1:9" x14ac:dyDescent="0.25">
      <c r="A1095" t="s">
        <v>390</v>
      </c>
      <c r="B1095" t="s">
        <v>150</v>
      </c>
      <c r="C1095">
        <v>2011</v>
      </c>
      <c r="D1095" s="130">
        <v>16.5</v>
      </c>
      <c r="E1095" s="130">
        <v>0.39999960000000001</v>
      </c>
      <c r="F1095" s="130">
        <v>31554.2</v>
      </c>
      <c r="G1095" s="130">
        <v>1.30968E-2</v>
      </c>
      <c r="H1095" s="16">
        <v>2400000</v>
      </c>
      <c r="I1095">
        <v>2.1209599999999999E-2</v>
      </c>
    </row>
    <row r="1096" spans="1:9" x14ac:dyDescent="0.25">
      <c r="A1096" t="s">
        <v>390</v>
      </c>
      <c r="B1096" t="s">
        <v>150</v>
      </c>
      <c r="C1096">
        <v>2012</v>
      </c>
      <c r="F1096" s="130">
        <v>32360.2</v>
      </c>
      <c r="G1096" s="130">
        <v>2.5223700000000002E-2</v>
      </c>
      <c r="H1096" s="16">
        <v>2400000</v>
      </c>
      <c r="I1096">
        <v>6.7851999999999999E-3</v>
      </c>
    </row>
    <row r="1097" spans="1:9" x14ac:dyDescent="0.25">
      <c r="A1097" t="s">
        <v>390</v>
      </c>
      <c r="B1097" t="s">
        <v>150</v>
      </c>
      <c r="C1097">
        <v>2013</v>
      </c>
    </row>
    <row r="1098" spans="1:9" x14ac:dyDescent="0.25">
      <c r="A1098" t="s">
        <v>396</v>
      </c>
      <c r="B1098" t="s">
        <v>127</v>
      </c>
      <c r="C1098">
        <v>1991</v>
      </c>
      <c r="D1098" s="130">
        <v>37.400002000000001</v>
      </c>
      <c r="F1098" s="130">
        <v>7352.98</v>
      </c>
      <c r="H1098">
        <v>966180</v>
      </c>
    </row>
    <row r="1099" spans="1:9" x14ac:dyDescent="0.25">
      <c r="A1099" t="s">
        <v>396</v>
      </c>
      <c r="B1099" t="s">
        <v>127</v>
      </c>
      <c r="C1099">
        <v>1992</v>
      </c>
      <c r="D1099" s="130">
        <v>34.900002000000001</v>
      </c>
      <c r="E1099" s="130">
        <v>-2.5</v>
      </c>
      <c r="F1099" s="130">
        <v>7793.44</v>
      </c>
      <c r="G1099" s="130">
        <v>5.8177E-2</v>
      </c>
      <c r="H1099" s="16">
        <v>1000000</v>
      </c>
      <c r="I1099">
        <v>4.7325600000000002E-2</v>
      </c>
    </row>
    <row r="1100" spans="1:9" x14ac:dyDescent="0.25">
      <c r="A1100" t="s">
        <v>396</v>
      </c>
      <c r="B1100" t="s">
        <v>127</v>
      </c>
      <c r="C1100">
        <v>1993</v>
      </c>
      <c r="D1100" s="130">
        <v>33.099997999999999</v>
      </c>
      <c r="E1100" s="130">
        <v>-1.800003</v>
      </c>
      <c r="F1100" s="130">
        <v>8051.51</v>
      </c>
      <c r="G1100" s="130">
        <v>3.2576599999999997E-2</v>
      </c>
      <c r="H1100" s="16">
        <v>1100000</v>
      </c>
      <c r="I1100">
        <v>4.5114899999999999E-2</v>
      </c>
    </row>
    <row r="1101" spans="1:9" x14ac:dyDescent="0.25">
      <c r="A1101" t="s">
        <v>396</v>
      </c>
      <c r="B1101" t="s">
        <v>127</v>
      </c>
      <c r="C1101">
        <v>1994</v>
      </c>
      <c r="D1101" s="130">
        <v>31.299999</v>
      </c>
      <c r="E1101" s="130">
        <v>-1.7999989999999999</v>
      </c>
      <c r="F1101" s="130">
        <v>8112.65</v>
      </c>
      <c r="G1101" s="130">
        <v>7.5665000000000003E-3</v>
      </c>
      <c r="H1101" s="16">
        <v>1100000</v>
      </c>
      <c r="I1101">
        <v>3.7088599999999999E-2</v>
      </c>
    </row>
    <row r="1102" spans="1:9" x14ac:dyDescent="0.25">
      <c r="A1102" t="s">
        <v>396</v>
      </c>
      <c r="B1102" t="s">
        <v>127</v>
      </c>
      <c r="C1102">
        <v>1995</v>
      </c>
      <c r="D1102" s="130">
        <v>32.5</v>
      </c>
      <c r="E1102" s="130">
        <v>1.2000010000000001</v>
      </c>
      <c r="F1102" s="130">
        <v>8086.55</v>
      </c>
      <c r="G1102" s="130">
        <v>-3.2234E-3</v>
      </c>
      <c r="H1102" s="16">
        <v>1100000</v>
      </c>
      <c r="I1102">
        <v>5.1041499999999997E-2</v>
      </c>
    </row>
    <row r="1103" spans="1:9" x14ac:dyDescent="0.25">
      <c r="A1103" t="s">
        <v>396</v>
      </c>
      <c r="B1103" t="s">
        <v>127</v>
      </c>
      <c r="C1103">
        <v>1996</v>
      </c>
      <c r="D1103" s="130">
        <v>32.799999</v>
      </c>
      <c r="E1103" s="130">
        <v>0.29999920000000002</v>
      </c>
      <c r="F1103" s="130">
        <v>8143.92</v>
      </c>
      <c r="G1103" s="130">
        <v>7.0695999999999997E-3</v>
      </c>
      <c r="H1103" s="16">
        <v>1200000</v>
      </c>
      <c r="I1103">
        <v>3.3020899999999999E-2</v>
      </c>
    </row>
    <row r="1104" spans="1:9" x14ac:dyDescent="0.25">
      <c r="A1104" t="s">
        <v>396</v>
      </c>
      <c r="B1104" t="s">
        <v>127</v>
      </c>
      <c r="C1104">
        <v>1997</v>
      </c>
      <c r="D1104" s="130">
        <v>33.799999</v>
      </c>
      <c r="E1104" s="130">
        <v>1</v>
      </c>
      <c r="F1104" s="130">
        <v>8492.7800000000007</v>
      </c>
      <c r="G1104" s="130">
        <v>4.1944500000000003E-2</v>
      </c>
      <c r="H1104" s="16">
        <v>1200000</v>
      </c>
      <c r="I1104">
        <v>3.1424599999999997E-2</v>
      </c>
    </row>
    <row r="1105" spans="1:9" x14ac:dyDescent="0.25">
      <c r="A1105" t="s">
        <v>396</v>
      </c>
      <c r="B1105" t="s">
        <v>127</v>
      </c>
      <c r="C1105">
        <v>1998</v>
      </c>
      <c r="D1105" s="130">
        <v>33.099997999999999</v>
      </c>
      <c r="E1105" s="130">
        <v>-0.70000079999999998</v>
      </c>
      <c r="F1105" s="130">
        <v>8930.3799999999992</v>
      </c>
      <c r="G1105" s="130">
        <v>5.02424E-2</v>
      </c>
      <c r="H1105" s="16">
        <v>1300000</v>
      </c>
      <c r="I1105">
        <v>5.8292900000000002E-2</v>
      </c>
    </row>
    <row r="1106" spans="1:9" x14ac:dyDescent="0.25">
      <c r="A1106" t="s">
        <v>396</v>
      </c>
      <c r="B1106" t="s">
        <v>127</v>
      </c>
      <c r="C1106">
        <v>1999</v>
      </c>
      <c r="D1106" s="130">
        <v>33.200001</v>
      </c>
      <c r="E1106" s="130">
        <v>0.1000023</v>
      </c>
      <c r="F1106" s="130">
        <v>9092.39</v>
      </c>
      <c r="G1106" s="130">
        <v>1.7979599999999998E-2</v>
      </c>
      <c r="H1106" s="16">
        <v>1300000</v>
      </c>
      <c r="I1106">
        <v>2.2267499999999999E-2</v>
      </c>
    </row>
    <row r="1107" spans="1:9" x14ac:dyDescent="0.25">
      <c r="A1107" t="s">
        <v>396</v>
      </c>
      <c r="B1107" t="s">
        <v>127</v>
      </c>
      <c r="C1107">
        <v>2000</v>
      </c>
      <c r="D1107" s="130">
        <v>33.299999</v>
      </c>
      <c r="E1107" s="130">
        <v>9.9998500000000004E-2</v>
      </c>
      <c r="F1107" s="130">
        <v>9152.4</v>
      </c>
      <c r="G1107" s="130">
        <v>6.5783999999999999E-3</v>
      </c>
      <c r="H1107" s="16">
        <v>1300000</v>
      </c>
      <c r="I1107">
        <v>3.49813E-2</v>
      </c>
    </row>
    <row r="1108" spans="1:9" x14ac:dyDescent="0.25">
      <c r="A1108" t="s">
        <v>396</v>
      </c>
      <c r="B1108" t="s">
        <v>127</v>
      </c>
      <c r="C1108">
        <v>2001</v>
      </c>
      <c r="D1108" s="130">
        <v>33.5</v>
      </c>
      <c r="E1108" s="130">
        <v>0.20000080000000001</v>
      </c>
      <c r="F1108" s="130">
        <v>9023.02</v>
      </c>
      <c r="G1108" s="130">
        <v>-1.4237400000000001E-2</v>
      </c>
      <c r="H1108" s="16">
        <v>1300000</v>
      </c>
      <c r="I1108">
        <v>3.5459499999999998E-2</v>
      </c>
    </row>
    <row r="1109" spans="1:9" x14ac:dyDescent="0.25">
      <c r="A1109" t="s">
        <v>396</v>
      </c>
      <c r="B1109" t="s">
        <v>127</v>
      </c>
      <c r="C1109">
        <v>2002</v>
      </c>
      <c r="D1109" s="130">
        <v>34.700001</v>
      </c>
      <c r="E1109" s="130">
        <v>1.2000010000000001</v>
      </c>
      <c r="F1109" s="130">
        <v>9044.09</v>
      </c>
      <c r="G1109" s="130">
        <v>2.3316999999999999E-3</v>
      </c>
      <c r="H1109" s="16">
        <v>1400000</v>
      </c>
      <c r="I1109">
        <v>3.5925699999999998E-2</v>
      </c>
    </row>
    <row r="1110" spans="1:9" x14ac:dyDescent="0.25">
      <c r="A1110" t="s">
        <v>396</v>
      </c>
      <c r="B1110" t="s">
        <v>127</v>
      </c>
      <c r="C1110">
        <v>2003</v>
      </c>
      <c r="D1110" s="130">
        <v>35.099997999999999</v>
      </c>
      <c r="E1110" s="130">
        <v>0.39999770000000001</v>
      </c>
      <c r="F1110" s="130">
        <v>9243.1299999999992</v>
      </c>
      <c r="G1110" s="130">
        <v>2.1769500000000001E-2</v>
      </c>
      <c r="H1110" s="16">
        <v>1400000</v>
      </c>
      <c r="I1110">
        <v>4.0957800000000003E-2</v>
      </c>
    </row>
    <row r="1111" spans="1:9" x14ac:dyDescent="0.25">
      <c r="A1111" t="s">
        <v>396</v>
      </c>
      <c r="B1111" t="s">
        <v>127</v>
      </c>
      <c r="C1111">
        <v>2004</v>
      </c>
      <c r="D1111" s="130">
        <v>34.200001</v>
      </c>
      <c r="E1111" s="130">
        <v>-0.89999770000000001</v>
      </c>
      <c r="F1111" s="130">
        <v>9750.2800000000007</v>
      </c>
      <c r="G1111" s="130">
        <v>5.3415299999999999E-2</v>
      </c>
      <c r="H1111" s="16">
        <v>1500000</v>
      </c>
      <c r="I1111">
        <v>4.6236600000000003E-2</v>
      </c>
    </row>
    <row r="1112" spans="1:9" x14ac:dyDescent="0.25">
      <c r="A1112" t="s">
        <v>396</v>
      </c>
      <c r="B1112" t="s">
        <v>127</v>
      </c>
      <c r="C1112">
        <v>2005</v>
      </c>
      <c r="D1112" s="130">
        <v>35</v>
      </c>
      <c r="E1112" s="130">
        <v>0.79999920000000002</v>
      </c>
      <c r="F1112" s="130">
        <v>10257.1</v>
      </c>
      <c r="G1112" s="130">
        <v>5.0673500000000003E-2</v>
      </c>
      <c r="H1112" s="16">
        <v>1500000</v>
      </c>
      <c r="I1112">
        <v>3.9738299999999997E-2</v>
      </c>
    </row>
    <row r="1113" spans="1:9" x14ac:dyDescent="0.25">
      <c r="A1113" t="s">
        <v>396</v>
      </c>
      <c r="B1113" t="s">
        <v>127</v>
      </c>
      <c r="C1113">
        <v>2006</v>
      </c>
      <c r="D1113" s="130">
        <v>33.799999</v>
      </c>
      <c r="E1113" s="130">
        <v>-1.2000010000000001</v>
      </c>
      <c r="F1113" s="130">
        <v>10928.6</v>
      </c>
      <c r="G1113" s="130">
        <v>6.3413600000000001E-2</v>
      </c>
      <c r="H1113" s="16">
        <v>1500000</v>
      </c>
      <c r="I1113">
        <v>1.54378E-2</v>
      </c>
    </row>
    <row r="1114" spans="1:9" x14ac:dyDescent="0.25">
      <c r="A1114" t="s">
        <v>396</v>
      </c>
      <c r="B1114" t="s">
        <v>127</v>
      </c>
      <c r="C1114">
        <v>2007</v>
      </c>
      <c r="D1114" s="130">
        <v>30.9</v>
      </c>
      <c r="E1114" s="130">
        <v>-2.9</v>
      </c>
      <c r="F1114" s="130">
        <v>12032.9</v>
      </c>
      <c r="G1114" s="130">
        <v>9.6262E-2</v>
      </c>
      <c r="H1114" s="16">
        <v>1600000</v>
      </c>
      <c r="I1114">
        <v>4.7554600000000002E-2</v>
      </c>
    </row>
    <row r="1115" spans="1:9" x14ac:dyDescent="0.25">
      <c r="A1115" t="s">
        <v>396</v>
      </c>
      <c r="B1115" t="s">
        <v>127</v>
      </c>
      <c r="C1115">
        <v>2008</v>
      </c>
      <c r="D1115" s="130">
        <v>30.6</v>
      </c>
      <c r="E1115" s="130">
        <v>-0.29999920000000002</v>
      </c>
      <c r="F1115" s="130">
        <v>13017.5</v>
      </c>
      <c r="G1115" s="130">
        <v>7.8647599999999998E-2</v>
      </c>
      <c r="H1115" s="16">
        <v>1600000</v>
      </c>
      <c r="I1115">
        <v>7.6790200000000003E-2</v>
      </c>
    </row>
    <row r="1116" spans="1:9" x14ac:dyDescent="0.25">
      <c r="A1116" t="s">
        <v>396</v>
      </c>
      <c r="B1116" t="s">
        <v>127</v>
      </c>
      <c r="C1116">
        <v>2009</v>
      </c>
      <c r="D1116" s="130">
        <v>35.299999</v>
      </c>
      <c r="E1116" s="130">
        <v>4.699999</v>
      </c>
      <c r="F1116" s="130">
        <v>13286.3</v>
      </c>
      <c r="G1116" s="130">
        <v>2.04382E-2</v>
      </c>
      <c r="H1116" s="16">
        <v>1700000</v>
      </c>
      <c r="I1116">
        <v>4.2225800000000001E-2</v>
      </c>
    </row>
    <row r="1117" spans="1:9" x14ac:dyDescent="0.25">
      <c r="A1117" t="s">
        <v>396</v>
      </c>
      <c r="B1117" t="s">
        <v>127</v>
      </c>
      <c r="C1117">
        <v>2010</v>
      </c>
      <c r="D1117" s="130">
        <v>34.099997999999999</v>
      </c>
      <c r="E1117" s="130">
        <v>-1.2000010000000001</v>
      </c>
      <c r="F1117" s="130">
        <v>14034.6</v>
      </c>
      <c r="G1117" s="130">
        <v>5.4798100000000002E-2</v>
      </c>
      <c r="H1117" s="16">
        <v>1700000</v>
      </c>
      <c r="I1117">
        <v>2.15868E-2</v>
      </c>
    </row>
    <row r="1118" spans="1:9" x14ac:dyDescent="0.25">
      <c r="A1118" t="s">
        <v>396</v>
      </c>
      <c r="B1118" t="s">
        <v>127</v>
      </c>
      <c r="C1118">
        <v>2011</v>
      </c>
      <c r="D1118" s="130">
        <v>32.400002000000001</v>
      </c>
      <c r="E1118" s="130">
        <v>-1.699997</v>
      </c>
      <c r="F1118" s="130">
        <v>15298.8</v>
      </c>
      <c r="G1118" s="130">
        <v>8.6242700000000005E-2</v>
      </c>
      <c r="H1118" s="16">
        <v>1700000</v>
      </c>
      <c r="I1118">
        <v>3.8064399999999998E-2</v>
      </c>
    </row>
    <row r="1119" spans="1:9" x14ac:dyDescent="0.25">
      <c r="A1119" t="s">
        <v>396</v>
      </c>
      <c r="B1119" t="s">
        <v>127</v>
      </c>
      <c r="C1119">
        <v>2012</v>
      </c>
      <c r="D1119" s="130">
        <v>31.9</v>
      </c>
      <c r="E1119" s="130">
        <v>-0.5000019</v>
      </c>
      <c r="F1119" s="130">
        <v>16655.2</v>
      </c>
      <c r="G1119" s="130">
        <v>8.4951399999999996E-2</v>
      </c>
      <c r="H1119" s="16">
        <v>1800000</v>
      </c>
      <c r="I1119">
        <v>3.86716E-2</v>
      </c>
    </row>
    <row r="1120" spans="1:9" x14ac:dyDescent="0.25">
      <c r="A1120" t="s">
        <v>396</v>
      </c>
      <c r="B1120" t="s">
        <v>127</v>
      </c>
      <c r="C1120">
        <v>2013</v>
      </c>
    </row>
    <row r="1121" spans="1:9" x14ac:dyDescent="0.25">
      <c r="A1121" t="s">
        <v>398</v>
      </c>
      <c r="B1121" t="s">
        <v>116</v>
      </c>
      <c r="C1121">
        <v>1990</v>
      </c>
      <c r="D1121" s="130">
        <v>41</v>
      </c>
      <c r="F1121" s="130">
        <v>5485.66</v>
      </c>
      <c r="H1121" s="16">
        <v>8300000</v>
      </c>
    </row>
    <row r="1122" spans="1:9" x14ac:dyDescent="0.25">
      <c r="A1122" t="s">
        <v>398</v>
      </c>
      <c r="B1122" t="s">
        <v>116</v>
      </c>
      <c r="C1122">
        <v>1991</v>
      </c>
      <c r="D1122" s="130">
        <v>41</v>
      </c>
      <c r="E1122" s="130">
        <v>0</v>
      </c>
      <c r="F1122" s="130">
        <v>5493.13</v>
      </c>
      <c r="G1122" s="130">
        <v>1.3599E-3</v>
      </c>
      <c r="H1122" s="16">
        <v>8300000</v>
      </c>
      <c r="I1122">
        <v>2.1169000000000001E-3</v>
      </c>
    </row>
    <row r="1123" spans="1:9" x14ac:dyDescent="0.25">
      <c r="A1123" t="s">
        <v>398</v>
      </c>
      <c r="B1123" t="s">
        <v>116</v>
      </c>
      <c r="C1123">
        <v>1992</v>
      </c>
      <c r="D1123" s="130">
        <v>42.400002000000001</v>
      </c>
      <c r="E1123" s="130">
        <v>1.400002</v>
      </c>
      <c r="F1123" s="130">
        <v>5364.23</v>
      </c>
      <c r="G1123" s="130">
        <v>-2.3745499999999999E-2</v>
      </c>
      <c r="H1123" s="16">
        <v>8700000</v>
      </c>
      <c r="I1123">
        <v>5.2367400000000001E-2</v>
      </c>
    </row>
    <row r="1124" spans="1:9" x14ac:dyDescent="0.25">
      <c r="A1124" t="s">
        <v>398</v>
      </c>
      <c r="B1124" t="s">
        <v>116</v>
      </c>
      <c r="C1124">
        <v>1993</v>
      </c>
      <c r="D1124" s="130">
        <v>41</v>
      </c>
      <c r="E1124" s="130">
        <v>-1.400002</v>
      </c>
      <c r="F1124" s="130">
        <v>5514.62</v>
      </c>
      <c r="G1124" s="130">
        <v>2.76508E-2</v>
      </c>
      <c r="H1124" s="16">
        <v>9200000</v>
      </c>
      <c r="I1124">
        <v>5.0434399999999997E-2</v>
      </c>
    </row>
    <row r="1125" spans="1:9" x14ac:dyDescent="0.25">
      <c r="A1125" t="s">
        <v>398</v>
      </c>
      <c r="B1125" t="s">
        <v>116</v>
      </c>
      <c r="C1125">
        <v>1994</v>
      </c>
      <c r="D1125" s="130">
        <v>41.299999</v>
      </c>
      <c r="E1125" s="130">
        <v>0.29999920000000002</v>
      </c>
      <c r="F1125" s="130">
        <v>6107.99</v>
      </c>
      <c r="G1125" s="130">
        <v>0.1021957</v>
      </c>
      <c r="H1125" s="16">
        <v>9600000</v>
      </c>
      <c r="I1125">
        <v>5.1743999999999998E-2</v>
      </c>
    </row>
    <row r="1126" spans="1:9" x14ac:dyDescent="0.25">
      <c r="A1126" t="s">
        <v>398</v>
      </c>
      <c r="B1126" t="s">
        <v>116</v>
      </c>
      <c r="C1126">
        <v>1995</v>
      </c>
      <c r="D1126" s="130">
        <v>41.400002000000001</v>
      </c>
      <c r="E1126" s="130">
        <v>0.1000023</v>
      </c>
      <c r="F1126" s="130">
        <v>6515.25</v>
      </c>
      <c r="G1126" s="130">
        <v>6.4546599999999996E-2</v>
      </c>
      <c r="H1126" s="16">
        <v>10000000</v>
      </c>
      <c r="I1126">
        <v>6.0343500000000001E-2</v>
      </c>
    </row>
    <row r="1127" spans="1:9" x14ac:dyDescent="0.25">
      <c r="A1127" t="s">
        <v>398</v>
      </c>
      <c r="B1127" t="s">
        <v>116</v>
      </c>
      <c r="C1127">
        <v>1996</v>
      </c>
      <c r="D1127" s="130">
        <v>47.900002000000001</v>
      </c>
      <c r="E1127" s="130">
        <v>6.5</v>
      </c>
      <c r="F1127" s="130">
        <v>6562.34</v>
      </c>
      <c r="G1127" s="130">
        <v>7.2021000000000003E-3</v>
      </c>
      <c r="H1127" s="16">
        <v>11000000</v>
      </c>
      <c r="I1127">
        <v>6.7573999999999995E-2</v>
      </c>
    </row>
    <row r="1128" spans="1:9" x14ac:dyDescent="0.25">
      <c r="A1128" t="s">
        <v>398</v>
      </c>
      <c r="B1128" t="s">
        <v>116</v>
      </c>
      <c r="C1128">
        <v>1997</v>
      </c>
      <c r="D1128" s="130">
        <v>50.799999</v>
      </c>
      <c r="E1128" s="130">
        <v>2.8999980000000001</v>
      </c>
      <c r="F1128" s="130">
        <v>6892.88</v>
      </c>
      <c r="G1128" s="130">
        <v>4.9140900000000001E-2</v>
      </c>
      <c r="H1128" s="16">
        <v>11000000</v>
      </c>
      <c r="I1128">
        <v>6.74202E-2</v>
      </c>
    </row>
    <row r="1129" spans="1:9" x14ac:dyDescent="0.25">
      <c r="A1129" t="s">
        <v>398</v>
      </c>
      <c r="B1129" t="s">
        <v>116</v>
      </c>
      <c r="C1129">
        <v>1998</v>
      </c>
      <c r="D1129" s="130">
        <v>47.5</v>
      </c>
      <c r="E1129" s="130">
        <v>-3.2999990000000001</v>
      </c>
      <c r="F1129" s="130">
        <v>6734.26</v>
      </c>
      <c r="G1129" s="130">
        <v>-2.3281099999999999E-2</v>
      </c>
      <c r="H1129" s="16">
        <v>12000000</v>
      </c>
      <c r="I1129">
        <v>5.1125299999999999E-2</v>
      </c>
    </row>
    <row r="1130" spans="1:9" x14ac:dyDescent="0.25">
      <c r="A1130" t="s">
        <v>398</v>
      </c>
      <c r="B1130" t="s">
        <v>116</v>
      </c>
      <c r="C1130">
        <v>1999</v>
      </c>
      <c r="D1130" s="130">
        <v>48.799999</v>
      </c>
      <c r="E1130" s="130">
        <v>1.2999989999999999</v>
      </c>
      <c r="F1130" s="130">
        <v>6688.44</v>
      </c>
      <c r="G1130" s="130">
        <v>-6.8263999999999998E-3</v>
      </c>
      <c r="H1130" s="16">
        <v>12000000</v>
      </c>
      <c r="I1130">
        <v>5.7685300000000002E-2</v>
      </c>
    </row>
    <row r="1131" spans="1:9" x14ac:dyDescent="0.25">
      <c r="A1131" t="s">
        <v>398</v>
      </c>
      <c r="B1131" t="s">
        <v>116</v>
      </c>
      <c r="C1131">
        <v>2000</v>
      </c>
      <c r="D1131" s="130">
        <v>49.299999</v>
      </c>
      <c r="E1131" s="130">
        <v>0.5</v>
      </c>
      <c r="F1131" s="130">
        <v>6782.88</v>
      </c>
      <c r="G1131" s="130">
        <v>1.4019999999999999E-2</v>
      </c>
      <c r="H1131" s="16">
        <v>12000000</v>
      </c>
      <c r="I1131">
        <v>-9.9345000000000006E-3</v>
      </c>
    </row>
    <row r="1132" spans="1:9" x14ac:dyDescent="0.25">
      <c r="A1132" t="s">
        <v>398</v>
      </c>
      <c r="B1132" t="s">
        <v>116</v>
      </c>
      <c r="C1132">
        <v>2001</v>
      </c>
      <c r="D1132" s="130">
        <v>50.799999</v>
      </c>
      <c r="E1132" s="130">
        <v>1.5</v>
      </c>
      <c r="F1132" s="130">
        <v>6701.5</v>
      </c>
      <c r="G1132" s="130">
        <v>-1.2069699999999999E-2</v>
      </c>
      <c r="H1132" s="16">
        <v>13000000</v>
      </c>
      <c r="I1132">
        <v>9.3277700000000005E-2</v>
      </c>
    </row>
    <row r="1133" spans="1:9" x14ac:dyDescent="0.25">
      <c r="A1133" t="s">
        <v>398</v>
      </c>
      <c r="B1133" t="s">
        <v>116</v>
      </c>
      <c r="C1133">
        <v>2002</v>
      </c>
      <c r="D1133" s="130">
        <v>37</v>
      </c>
      <c r="E1133" s="130">
        <v>-13.8</v>
      </c>
      <c r="F1133" s="130">
        <v>6943.78</v>
      </c>
      <c r="G1133" s="130">
        <v>3.55158E-2</v>
      </c>
      <c r="H1133" s="16">
        <v>13000000</v>
      </c>
      <c r="I1133">
        <v>-1.65725E-2</v>
      </c>
    </row>
    <row r="1134" spans="1:9" x14ac:dyDescent="0.25">
      <c r="A1134" t="s">
        <v>398</v>
      </c>
      <c r="B1134" t="s">
        <v>116</v>
      </c>
      <c r="C1134">
        <v>2003</v>
      </c>
      <c r="D1134" s="130">
        <v>40.200001</v>
      </c>
      <c r="E1134" s="130">
        <v>3.2000009999999999</v>
      </c>
      <c r="F1134" s="130">
        <v>7132.14</v>
      </c>
      <c r="G1134" s="130">
        <v>2.6764900000000001E-2</v>
      </c>
      <c r="H1134" s="16">
        <v>13000000</v>
      </c>
      <c r="I1134">
        <v>-1.6739400000000002E-2</v>
      </c>
    </row>
    <row r="1135" spans="1:9" x14ac:dyDescent="0.25">
      <c r="A1135" t="s">
        <v>398</v>
      </c>
      <c r="B1135" t="s">
        <v>116</v>
      </c>
      <c r="C1135">
        <v>2004</v>
      </c>
      <c r="D1135" s="130">
        <v>58.400002000000001</v>
      </c>
      <c r="E1135" s="130">
        <v>18.2</v>
      </c>
      <c r="F1135" s="130">
        <v>7396.79</v>
      </c>
      <c r="G1135" s="130">
        <v>3.64342E-2</v>
      </c>
      <c r="H1135" s="16">
        <v>13000000</v>
      </c>
      <c r="I1135">
        <v>2.12094E-2</v>
      </c>
    </row>
    <row r="1136" spans="1:9" x14ac:dyDescent="0.25">
      <c r="A1136" t="s">
        <v>398</v>
      </c>
      <c r="B1136" t="s">
        <v>116</v>
      </c>
      <c r="C1136">
        <v>2005</v>
      </c>
      <c r="D1136" s="130">
        <v>57.400002000000001</v>
      </c>
      <c r="E1136" s="130">
        <v>-1</v>
      </c>
      <c r="F1136" s="130">
        <v>7810.7</v>
      </c>
      <c r="G1136" s="130">
        <v>5.4448099999999999E-2</v>
      </c>
      <c r="H1136" s="16">
        <v>13000000</v>
      </c>
      <c r="I1136">
        <v>2.0478099999999999E-2</v>
      </c>
    </row>
    <row r="1137" spans="1:9" x14ac:dyDescent="0.25">
      <c r="A1137" t="s">
        <v>398</v>
      </c>
      <c r="B1137" t="s">
        <v>116</v>
      </c>
      <c r="C1137">
        <v>2006</v>
      </c>
      <c r="D1137" s="130">
        <v>55.900002000000001</v>
      </c>
      <c r="E1137" s="130">
        <v>-1.5</v>
      </c>
      <c r="F1137" s="130">
        <v>8323</v>
      </c>
      <c r="G1137" s="130">
        <v>6.3528100000000004E-2</v>
      </c>
      <c r="H1137" s="16">
        <v>13000000</v>
      </c>
      <c r="I1137">
        <v>6.12761E-2</v>
      </c>
    </row>
    <row r="1138" spans="1:9" x14ac:dyDescent="0.25">
      <c r="A1138" t="s">
        <v>398</v>
      </c>
      <c r="B1138" t="s">
        <v>116</v>
      </c>
      <c r="C1138">
        <v>2007</v>
      </c>
      <c r="D1138" s="130">
        <v>54.700001</v>
      </c>
      <c r="E1138" s="130">
        <v>-1.2000010000000001</v>
      </c>
      <c r="F1138" s="130">
        <v>8965.89</v>
      </c>
      <c r="G1138" s="130">
        <v>7.4405700000000005E-2</v>
      </c>
      <c r="H1138" s="16">
        <v>14000000</v>
      </c>
      <c r="I1138">
        <v>0.1348491</v>
      </c>
    </row>
    <row r="1139" spans="1:9" x14ac:dyDescent="0.25">
      <c r="A1139" t="s">
        <v>398</v>
      </c>
      <c r="B1139" t="s">
        <v>116</v>
      </c>
      <c r="C1139">
        <v>2008</v>
      </c>
      <c r="D1139" s="130">
        <v>54.099997999999999</v>
      </c>
      <c r="E1139" s="130">
        <v>-0.60000229999999999</v>
      </c>
      <c r="F1139" s="130">
        <v>9738.9699999999993</v>
      </c>
      <c r="G1139" s="130">
        <v>8.2708400000000001E-2</v>
      </c>
      <c r="H1139" s="16">
        <v>15000000</v>
      </c>
      <c r="I1139">
        <v>4.7756600000000003E-2</v>
      </c>
    </row>
    <row r="1140" spans="1:9" x14ac:dyDescent="0.25">
      <c r="A1140" t="s">
        <v>398</v>
      </c>
      <c r="B1140" t="s">
        <v>116</v>
      </c>
      <c r="C1140">
        <v>2009</v>
      </c>
      <c r="D1140" s="130">
        <v>53.599997999999999</v>
      </c>
      <c r="E1140" s="130">
        <v>-0.5</v>
      </c>
      <c r="F1140" s="130">
        <v>9723.9500000000007</v>
      </c>
      <c r="G1140" s="130">
        <v>-1.5449999999999999E-3</v>
      </c>
      <c r="H1140" s="16">
        <v>15000000</v>
      </c>
      <c r="I1140">
        <v>4.6942900000000003E-2</v>
      </c>
    </row>
    <row r="1141" spans="1:9" x14ac:dyDescent="0.25">
      <c r="A1141" t="s">
        <v>398</v>
      </c>
      <c r="B1141" t="s">
        <v>116</v>
      </c>
      <c r="C1141">
        <v>2010</v>
      </c>
      <c r="D1141" s="130">
        <v>53.5</v>
      </c>
      <c r="E1141" s="130">
        <v>-9.9998500000000004E-2</v>
      </c>
      <c r="F1141" s="130">
        <v>10460</v>
      </c>
      <c r="G1141" s="130">
        <v>7.2970400000000005E-2</v>
      </c>
      <c r="H1141" s="16">
        <v>16000000</v>
      </c>
      <c r="I1141">
        <v>3.4271999999999997E-2</v>
      </c>
    </row>
    <row r="1142" spans="1:9" x14ac:dyDescent="0.25">
      <c r="A1142" t="s">
        <v>398</v>
      </c>
      <c r="B1142" t="s">
        <v>116</v>
      </c>
      <c r="C1142">
        <v>2011</v>
      </c>
      <c r="D1142" s="130">
        <v>53.099997999999999</v>
      </c>
      <c r="E1142" s="130">
        <v>-0.40000150000000001</v>
      </c>
      <c r="F1142" s="130">
        <v>11049.3</v>
      </c>
      <c r="G1142" s="130">
        <v>5.4801900000000001E-2</v>
      </c>
      <c r="H1142" s="16">
        <v>16000000</v>
      </c>
      <c r="I1142">
        <v>3.6193799999999998E-2</v>
      </c>
    </row>
    <row r="1143" spans="1:9" x14ac:dyDescent="0.25">
      <c r="A1143" t="s">
        <v>398</v>
      </c>
      <c r="B1143" t="s">
        <v>116</v>
      </c>
      <c r="C1143">
        <v>2012</v>
      </c>
      <c r="D1143" s="130">
        <v>51.799999</v>
      </c>
      <c r="E1143" s="130">
        <v>-1.2999989999999999</v>
      </c>
      <c r="F1143" s="130">
        <v>11602.6</v>
      </c>
      <c r="G1143" s="130">
        <v>4.8864400000000002E-2</v>
      </c>
      <c r="H1143" s="16">
        <v>16000000</v>
      </c>
      <c r="I1143">
        <v>3.5336100000000002E-2</v>
      </c>
    </row>
    <row r="1144" spans="1:9" x14ac:dyDescent="0.25">
      <c r="A1144" t="s">
        <v>398</v>
      </c>
      <c r="B1144" t="s">
        <v>116</v>
      </c>
      <c r="C1144">
        <v>2013</v>
      </c>
    </row>
    <row r="1145" spans="1:9" x14ac:dyDescent="0.25">
      <c r="A1145" t="s">
        <v>399</v>
      </c>
      <c r="B1145" t="s">
        <v>90</v>
      </c>
      <c r="C1145">
        <v>1998</v>
      </c>
      <c r="D1145" s="130">
        <v>50.099997999999999</v>
      </c>
      <c r="F1145" s="130">
        <v>4114.5</v>
      </c>
      <c r="H1145" s="16">
        <v>30000000</v>
      </c>
    </row>
    <row r="1146" spans="1:9" x14ac:dyDescent="0.25">
      <c r="A1146" t="s">
        <v>399</v>
      </c>
      <c r="B1146" t="s">
        <v>90</v>
      </c>
      <c r="C1146">
        <v>1999</v>
      </c>
      <c r="D1146" s="130">
        <v>50.400002000000001</v>
      </c>
      <c r="E1146" s="130">
        <v>0.30000310000000002</v>
      </c>
      <c r="F1146" s="130">
        <v>4150.6400000000003</v>
      </c>
      <c r="G1146" s="130">
        <v>8.7471000000000007E-3</v>
      </c>
      <c r="H1146" s="16">
        <v>31000000</v>
      </c>
      <c r="I1146">
        <v>2.3293299999999999E-2</v>
      </c>
    </row>
    <row r="1147" spans="1:9" x14ac:dyDescent="0.25">
      <c r="A1147" t="s">
        <v>399</v>
      </c>
      <c r="B1147" t="s">
        <v>90</v>
      </c>
      <c r="C1147">
        <v>2000</v>
      </c>
      <c r="D1147" s="130">
        <v>49.299999</v>
      </c>
      <c r="E1147" s="130">
        <v>-1.1000019999999999</v>
      </c>
      <c r="F1147" s="130">
        <v>4242.55</v>
      </c>
      <c r="G1147" s="130">
        <v>2.1902100000000001E-2</v>
      </c>
      <c r="H1147" s="16">
        <v>31000000</v>
      </c>
      <c r="I1147">
        <v>4.5589000000000003E-3</v>
      </c>
    </row>
    <row r="1148" spans="1:9" x14ac:dyDescent="0.25">
      <c r="A1148" t="s">
        <v>399</v>
      </c>
      <c r="B1148" t="s">
        <v>90</v>
      </c>
      <c r="C1148">
        <v>2001</v>
      </c>
      <c r="D1148" s="130">
        <v>50.5</v>
      </c>
      <c r="E1148" s="130">
        <v>1.2000010000000001</v>
      </c>
      <c r="F1148" s="130">
        <v>4274.7299999999996</v>
      </c>
      <c r="G1148" s="130">
        <v>7.5550000000000001E-3</v>
      </c>
      <c r="H1148" s="16">
        <v>33000000</v>
      </c>
      <c r="I1148">
        <v>7.0087300000000005E-2</v>
      </c>
    </row>
    <row r="1149" spans="1:9" x14ac:dyDescent="0.25">
      <c r="A1149" t="s">
        <v>399</v>
      </c>
      <c r="B1149" t="s">
        <v>90</v>
      </c>
      <c r="C1149">
        <v>2002</v>
      </c>
      <c r="D1149" s="130">
        <v>51.299999</v>
      </c>
      <c r="E1149" s="130">
        <v>0.79999920000000002</v>
      </c>
      <c r="F1149" s="130">
        <v>4339.95</v>
      </c>
      <c r="G1149" s="130">
        <v>1.51424E-2</v>
      </c>
      <c r="H1149" s="16">
        <v>33000000</v>
      </c>
      <c r="I1149">
        <v>8.0061000000000004E-3</v>
      </c>
    </row>
    <row r="1150" spans="1:9" x14ac:dyDescent="0.25">
      <c r="A1150" t="s">
        <v>399</v>
      </c>
      <c r="B1150" t="s">
        <v>90</v>
      </c>
      <c r="C1150">
        <v>2003</v>
      </c>
      <c r="D1150" s="130">
        <v>49.900002000000001</v>
      </c>
      <c r="E1150" s="130">
        <v>-1.3999980000000001</v>
      </c>
      <c r="F1150" s="130">
        <v>4464.6099999999997</v>
      </c>
      <c r="G1150" s="130">
        <v>2.8318400000000001E-2</v>
      </c>
      <c r="H1150" s="16">
        <v>35000000</v>
      </c>
      <c r="I1150">
        <v>3.6172000000000003E-2</v>
      </c>
    </row>
    <row r="1151" spans="1:9" x14ac:dyDescent="0.25">
      <c r="A1151" t="s">
        <v>399</v>
      </c>
      <c r="B1151" t="s">
        <v>90</v>
      </c>
      <c r="C1151">
        <v>2004</v>
      </c>
      <c r="D1151" s="130">
        <v>47.900002000000001</v>
      </c>
      <c r="E1151" s="130">
        <v>-2</v>
      </c>
      <c r="F1151" s="130">
        <v>4671.6400000000003</v>
      </c>
      <c r="G1151" s="130">
        <v>4.5328100000000003E-2</v>
      </c>
      <c r="H1151" s="16">
        <v>35000000</v>
      </c>
      <c r="I1151">
        <v>1.7558000000000001E-2</v>
      </c>
    </row>
    <row r="1152" spans="1:9" x14ac:dyDescent="0.25">
      <c r="A1152" t="s">
        <v>399</v>
      </c>
      <c r="B1152" t="s">
        <v>90</v>
      </c>
      <c r="C1152">
        <v>2005</v>
      </c>
      <c r="D1152" s="130">
        <v>49.5</v>
      </c>
      <c r="E1152" s="130">
        <v>1.599998</v>
      </c>
      <c r="F1152" s="130">
        <v>4804.1499999999996</v>
      </c>
      <c r="G1152" s="130">
        <v>2.7971300000000001E-2</v>
      </c>
      <c r="H1152" s="16">
        <v>35000000</v>
      </c>
      <c r="I1152">
        <v>-4.2959000000000001E-3</v>
      </c>
    </row>
    <row r="1153" spans="1:9" x14ac:dyDescent="0.25">
      <c r="A1153" t="s">
        <v>399</v>
      </c>
      <c r="B1153" t="s">
        <v>90</v>
      </c>
      <c r="C1153">
        <v>2006</v>
      </c>
      <c r="D1153" s="130">
        <v>48.900002000000001</v>
      </c>
      <c r="E1153" s="130">
        <v>-0.59999849999999999</v>
      </c>
      <c r="F1153" s="130">
        <v>4966.6000000000004</v>
      </c>
      <c r="G1153" s="130">
        <v>3.3255600000000003E-2</v>
      </c>
      <c r="H1153" s="16">
        <v>35000000</v>
      </c>
      <c r="I1153">
        <v>1.0593099999999999E-2</v>
      </c>
    </row>
    <row r="1154" spans="1:9" x14ac:dyDescent="0.25">
      <c r="A1154" t="s">
        <v>399</v>
      </c>
      <c r="B1154" t="s">
        <v>90</v>
      </c>
      <c r="C1154">
        <v>2007</v>
      </c>
      <c r="D1154" s="130">
        <v>47.799999</v>
      </c>
      <c r="E1154" s="130">
        <v>-1.1000019999999999</v>
      </c>
      <c r="F1154" s="130">
        <v>5205.32</v>
      </c>
      <c r="G1154" s="130">
        <v>4.6944600000000003E-2</v>
      </c>
      <c r="H1154" s="16">
        <v>36000000</v>
      </c>
      <c r="I1154">
        <v>1.5487900000000001E-2</v>
      </c>
    </row>
    <row r="1155" spans="1:9" x14ac:dyDescent="0.25">
      <c r="A1155" t="s">
        <v>399</v>
      </c>
      <c r="B1155" t="s">
        <v>90</v>
      </c>
      <c r="C1155">
        <v>2008</v>
      </c>
      <c r="D1155" s="130">
        <v>47.599997999999999</v>
      </c>
      <c r="E1155" s="130">
        <v>-0.20000080000000001</v>
      </c>
      <c r="F1155" s="130">
        <v>5331.75</v>
      </c>
      <c r="G1155" s="130">
        <v>2.3999199999999998E-2</v>
      </c>
      <c r="H1155" s="16">
        <v>37000000</v>
      </c>
      <c r="I1155">
        <v>3.62788E-2</v>
      </c>
    </row>
    <row r="1156" spans="1:9" x14ac:dyDescent="0.25">
      <c r="A1156" t="s">
        <v>399</v>
      </c>
      <c r="B1156" t="s">
        <v>90</v>
      </c>
      <c r="C1156">
        <v>2009</v>
      </c>
      <c r="D1156" s="130">
        <v>46.700001</v>
      </c>
      <c r="E1156" s="130">
        <v>-0.89999770000000001</v>
      </c>
      <c r="F1156" s="130">
        <v>5304.05</v>
      </c>
      <c r="G1156" s="130">
        <v>-5.2090000000000001E-3</v>
      </c>
      <c r="H1156" s="16">
        <v>38000000</v>
      </c>
      <c r="I1156">
        <v>3.3454900000000003E-2</v>
      </c>
    </row>
    <row r="1157" spans="1:9" x14ac:dyDescent="0.25">
      <c r="A1157" t="s">
        <v>399</v>
      </c>
      <c r="B1157" t="s">
        <v>90</v>
      </c>
      <c r="C1157">
        <v>2010</v>
      </c>
      <c r="D1157" s="130">
        <v>45.599997999999999</v>
      </c>
      <c r="E1157" s="130">
        <v>-1.1000019999999999</v>
      </c>
      <c r="F1157" s="130">
        <v>5613.69</v>
      </c>
      <c r="G1157" s="130">
        <v>5.6737900000000001E-2</v>
      </c>
      <c r="H1157" s="16">
        <v>39000000</v>
      </c>
      <c r="I1157">
        <v>4.0612200000000001E-2</v>
      </c>
    </row>
    <row r="1158" spans="1:9" x14ac:dyDescent="0.25">
      <c r="A1158" t="s">
        <v>399</v>
      </c>
      <c r="B1158" t="s">
        <v>90</v>
      </c>
      <c r="C1158">
        <v>2011</v>
      </c>
      <c r="D1158" s="130">
        <v>44.799999</v>
      </c>
      <c r="E1158" s="130">
        <v>-0.79999920000000002</v>
      </c>
      <c r="F1158" s="130">
        <v>5719.47</v>
      </c>
      <c r="G1158" s="130">
        <v>1.8667199999999998E-2</v>
      </c>
      <c r="H1158" s="16">
        <v>40000000</v>
      </c>
      <c r="I1158">
        <v>4.0079700000000003E-2</v>
      </c>
    </row>
    <row r="1159" spans="1:9" x14ac:dyDescent="0.25">
      <c r="A1159" t="s">
        <v>399</v>
      </c>
      <c r="B1159" t="s">
        <v>90</v>
      </c>
      <c r="C1159">
        <v>2012</v>
      </c>
      <c r="D1159" s="130">
        <v>43.400002000000001</v>
      </c>
      <c r="E1159" s="130">
        <v>-1.3999980000000001</v>
      </c>
      <c r="F1159" s="130">
        <v>6004.78</v>
      </c>
      <c r="G1159" s="130">
        <v>4.8679399999999998E-2</v>
      </c>
      <c r="H1159" s="16">
        <v>41000000</v>
      </c>
      <c r="I1159">
        <v>3.0970000000000001E-2</v>
      </c>
    </row>
    <row r="1160" spans="1:9" x14ac:dyDescent="0.25">
      <c r="A1160" t="s">
        <v>399</v>
      </c>
      <c r="B1160" t="s">
        <v>90</v>
      </c>
      <c r="C1160">
        <v>2013</v>
      </c>
    </row>
    <row r="1161" spans="1:9" x14ac:dyDescent="0.25">
      <c r="A1161" t="s">
        <v>400</v>
      </c>
      <c r="B1161" t="s">
        <v>132</v>
      </c>
      <c r="C1161">
        <v>1990</v>
      </c>
      <c r="D1161" s="130">
        <v>27.200001</v>
      </c>
      <c r="F1161" s="130">
        <v>9896.44</v>
      </c>
      <c r="H1161" s="16">
        <v>18000000</v>
      </c>
    </row>
    <row r="1162" spans="1:9" x14ac:dyDescent="0.25">
      <c r="A1162" t="s">
        <v>400</v>
      </c>
      <c r="B1162" t="s">
        <v>132</v>
      </c>
      <c r="C1162">
        <v>1991</v>
      </c>
      <c r="D1162" s="130">
        <v>30</v>
      </c>
      <c r="E1162" s="130">
        <v>2.7999990000000001</v>
      </c>
      <c r="F1162" s="130">
        <v>9169.57</v>
      </c>
      <c r="G1162" s="130">
        <v>-7.6285400000000003E-2</v>
      </c>
      <c r="H1162" s="16">
        <v>18000000</v>
      </c>
      <c r="I1162">
        <v>-8.2360999999999997E-3</v>
      </c>
    </row>
    <row r="1163" spans="1:9" x14ac:dyDescent="0.25">
      <c r="A1163" t="s">
        <v>400</v>
      </c>
      <c r="B1163" t="s">
        <v>132</v>
      </c>
      <c r="C1163">
        <v>1992</v>
      </c>
      <c r="D1163" s="130">
        <v>30.200001</v>
      </c>
      <c r="E1163" s="130">
        <v>0.20000080000000001</v>
      </c>
      <c r="F1163" s="130">
        <v>9371.4</v>
      </c>
      <c r="G1163" s="130">
        <v>2.1772400000000001E-2</v>
      </c>
      <c r="H1163" s="16">
        <v>18000000</v>
      </c>
      <c r="I1163">
        <v>-6.4555000000000003E-3</v>
      </c>
    </row>
    <row r="1164" spans="1:9" x14ac:dyDescent="0.25">
      <c r="A1164" t="s">
        <v>400</v>
      </c>
      <c r="B1164" t="s">
        <v>132</v>
      </c>
      <c r="C1164">
        <v>1993</v>
      </c>
      <c r="D1164" s="130">
        <v>31.200001</v>
      </c>
      <c r="E1164" s="130">
        <v>1</v>
      </c>
      <c r="F1164" s="130">
        <v>9697.0300000000007</v>
      </c>
      <c r="G1164" s="130">
        <v>3.4156800000000001E-2</v>
      </c>
      <c r="H1164" s="16">
        <v>18000000</v>
      </c>
      <c r="I1164">
        <v>-1.4526000000000001E-3</v>
      </c>
    </row>
    <row r="1165" spans="1:9" x14ac:dyDescent="0.25">
      <c r="A1165" t="s">
        <v>400</v>
      </c>
      <c r="B1165" t="s">
        <v>132</v>
      </c>
      <c r="C1165">
        <v>1994</v>
      </c>
      <c r="D1165" s="130">
        <v>30.9</v>
      </c>
      <c r="E1165" s="130">
        <v>-0.30000110000000002</v>
      </c>
      <c r="F1165" s="130">
        <v>10188.700000000001</v>
      </c>
      <c r="G1165" s="130">
        <v>4.94642E-2</v>
      </c>
      <c r="H1165" s="16">
        <v>18000000</v>
      </c>
      <c r="I1165">
        <v>-9.2952E-3</v>
      </c>
    </row>
    <row r="1166" spans="1:9" x14ac:dyDescent="0.25">
      <c r="A1166" t="s">
        <v>400</v>
      </c>
      <c r="B1166" t="s">
        <v>132</v>
      </c>
      <c r="C1166">
        <v>1995</v>
      </c>
      <c r="D1166" s="130">
        <v>29.700001</v>
      </c>
      <c r="E1166" s="130">
        <v>-1.199999</v>
      </c>
      <c r="F1166" s="130">
        <v>10882.3</v>
      </c>
      <c r="G1166" s="130">
        <v>6.5851199999999999E-2</v>
      </c>
      <c r="H1166" s="16">
        <v>17000000</v>
      </c>
      <c r="I1166">
        <v>-1.11203E-2</v>
      </c>
    </row>
    <row r="1167" spans="1:9" x14ac:dyDescent="0.25">
      <c r="A1167" t="s">
        <v>400</v>
      </c>
      <c r="B1167" t="s">
        <v>132</v>
      </c>
      <c r="C1167">
        <v>1996</v>
      </c>
      <c r="D1167" s="130">
        <v>29.5</v>
      </c>
      <c r="E1167" s="130">
        <v>-0.20000080000000001</v>
      </c>
      <c r="F1167" s="130">
        <v>11552.4</v>
      </c>
      <c r="G1167" s="130">
        <v>5.9760099999999997E-2</v>
      </c>
      <c r="H1167" s="16">
        <v>17000000</v>
      </c>
      <c r="I1167">
        <v>-2.9142999999999999E-3</v>
      </c>
    </row>
    <row r="1168" spans="1:9" x14ac:dyDescent="0.25">
      <c r="A1168" t="s">
        <v>400</v>
      </c>
      <c r="B1168" t="s">
        <v>132</v>
      </c>
      <c r="C1168">
        <v>1997</v>
      </c>
      <c r="D1168" s="130">
        <v>28.700001</v>
      </c>
      <c r="E1168" s="130">
        <v>-0.79999920000000002</v>
      </c>
      <c r="F1168" s="130">
        <v>12363</v>
      </c>
      <c r="G1168" s="130">
        <v>6.7810099999999998E-2</v>
      </c>
      <c r="H1168" s="16">
        <v>17000000</v>
      </c>
      <c r="I1168">
        <v>-8.7469999999999996E-4</v>
      </c>
    </row>
    <row r="1169" spans="1:9" x14ac:dyDescent="0.25">
      <c r="A1169" t="s">
        <v>400</v>
      </c>
      <c r="B1169" t="s">
        <v>132</v>
      </c>
      <c r="C1169">
        <v>1998</v>
      </c>
      <c r="D1169" s="130">
        <v>27.5</v>
      </c>
      <c r="E1169" s="130">
        <v>-1.2000010000000001</v>
      </c>
      <c r="F1169" s="130">
        <v>12974.2</v>
      </c>
      <c r="G1169" s="130">
        <v>4.8257799999999997E-2</v>
      </c>
      <c r="H1169" s="16">
        <v>17000000</v>
      </c>
      <c r="I1169">
        <v>2.4393000000000001E-3</v>
      </c>
    </row>
    <row r="1170" spans="1:9" x14ac:dyDescent="0.25">
      <c r="A1170" t="s">
        <v>400</v>
      </c>
      <c r="B1170" t="s">
        <v>132</v>
      </c>
      <c r="C1170">
        <v>1999</v>
      </c>
      <c r="D1170" s="130">
        <v>26.799999</v>
      </c>
      <c r="E1170" s="130">
        <v>-0.70000079999999998</v>
      </c>
      <c r="F1170" s="130">
        <v>13562.3</v>
      </c>
      <c r="G1170" s="130">
        <v>4.4331599999999999E-2</v>
      </c>
      <c r="H1170" s="16">
        <v>17000000</v>
      </c>
      <c r="I1170">
        <v>-1.00266E-2</v>
      </c>
    </row>
    <row r="1171" spans="1:9" x14ac:dyDescent="0.25">
      <c r="A1171" t="s">
        <v>400</v>
      </c>
      <c r="B1171" t="s">
        <v>132</v>
      </c>
      <c r="C1171">
        <v>2000</v>
      </c>
      <c r="D1171" s="130">
        <v>27.4</v>
      </c>
      <c r="E1171" s="130">
        <v>0.60000039999999999</v>
      </c>
      <c r="F1171" s="130">
        <v>14216</v>
      </c>
      <c r="G1171" s="130">
        <v>4.7071500000000002E-2</v>
      </c>
      <c r="H1171" s="16">
        <v>17000000</v>
      </c>
      <c r="I1171">
        <v>8.4639999999999993E-3</v>
      </c>
    </row>
    <row r="1172" spans="1:9" x14ac:dyDescent="0.25">
      <c r="A1172" t="s">
        <v>400</v>
      </c>
      <c r="B1172" t="s">
        <v>132</v>
      </c>
      <c r="C1172">
        <v>2001</v>
      </c>
      <c r="D1172" s="130">
        <v>28</v>
      </c>
      <c r="E1172" s="130">
        <v>0.60000039999999999</v>
      </c>
      <c r="F1172" s="130">
        <v>14464.7</v>
      </c>
      <c r="G1172" s="130">
        <v>1.7344499999999999E-2</v>
      </c>
      <c r="H1172" s="16">
        <v>17000000</v>
      </c>
      <c r="I1172">
        <v>1.1842999999999999E-3</v>
      </c>
    </row>
    <row r="1173" spans="1:9" x14ac:dyDescent="0.25">
      <c r="A1173" t="s">
        <v>400</v>
      </c>
      <c r="B1173" t="s">
        <v>132</v>
      </c>
      <c r="C1173">
        <v>2002</v>
      </c>
      <c r="D1173" s="130">
        <v>28.200001</v>
      </c>
      <c r="E1173" s="130">
        <v>0.20000080000000001</v>
      </c>
      <c r="F1173" s="130">
        <v>14680.3</v>
      </c>
      <c r="G1173" s="130">
        <v>1.47943E-2</v>
      </c>
      <c r="H1173" s="16">
        <v>17000000</v>
      </c>
      <c r="I1173">
        <v>-1.0168399999999999E-2</v>
      </c>
    </row>
    <row r="1174" spans="1:9" x14ac:dyDescent="0.25">
      <c r="A1174" t="s">
        <v>400</v>
      </c>
      <c r="B1174" t="s">
        <v>132</v>
      </c>
      <c r="C1174">
        <v>2003</v>
      </c>
      <c r="D1174" s="130">
        <v>27</v>
      </c>
      <c r="E1174" s="130">
        <v>-1.2000010000000001</v>
      </c>
      <c r="F1174" s="130">
        <v>15258.3</v>
      </c>
      <c r="G1174" s="130">
        <v>3.8618100000000002E-2</v>
      </c>
      <c r="H1174" s="16">
        <v>17000000</v>
      </c>
      <c r="I1174">
        <v>1.0683999999999999E-3</v>
      </c>
    </row>
    <row r="1175" spans="1:9" x14ac:dyDescent="0.25">
      <c r="A1175" t="s">
        <v>400</v>
      </c>
      <c r="B1175" t="s">
        <v>132</v>
      </c>
      <c r="C1175">
        <v>2004</v>
      </c>
      <c r="D1175" s="130">
        <v>26.5</v>
      </c>
      <c r="E1175" s="130">
        <v>-0.5</v>
      </c>
      <c r="F1175" s="130">
        <v>16083.2</v>
      </c>
      <c r="G1175" s="130">
        <v>5.26533E-2</v>
      </c>
      <c r="H1175" s="16">
        <v>17000000</v>
      </c>
      <c r="I1175">
        <v>3.9706000000000003E-3</v>
      </c>
    </row>
    <row r="1176" spans="1:9" x14ac:dyDescent="0.25">
      <c r="A1176" t="s">
        <v>400</v>
      </c>
      <c r="B1176" t="s">
        <v>132</v>
      </c>
      <c r="C1176">
        <v>2005</v>
      </c>
      <c r="D1176" s="130">
        <v>25.799999</v>
      </c>
      <c r="E1176" s="130">
        <v>-0.70000079999999998</v>
      </c>
      <c r="F1176" s="130">
        <v>16672.3</v>
      </c>
      <c r="G1176" s="130">
        <v>3.5971599999999999E-2</v>
      </c>
      <c r="H1176" s="16">
        <v>17000000</v>
      </c>
      <c r="I1176">
        <v>8.6792999999999992E-3</v>
      </c>
    </row>
    <row r="1177" spans="1:9" x14ac:dyDescent="0.25">
      <c r="A1177" t="s">
        <v>400</v>
      </c>
      <c r="B1177" t="s">
        <v>132</v>
      </c>
      <c r="C1177">
        <v>2006</v>
      </c>
      <c r="D1177" s="130">
        <v>24.4</v>
      </c>
      <c r="E1177" s="130">
        <v>-1.4</v>
      </c>
      <c r="F1177" s="130">
        <v>17721.8</v>
      </c>
      <c r="G1177" s="130">
        <v>6.1045599999999998E-2</v>
      </c>
      <c r="H1177" s="16">
        <v>17000000</v>
      </c>
      <c r="I1177">
        <v>-6.4194999999999999E-3</v>
      </c>
    </row>
    <row r="1178" spans="1:9" x14ac:dyDescent="0.25">
      <c r="A1178" t="s">
        <v>400</v>
      </c>
      <c r="B1178" t="s">
        <v>132</v>
      </c>
      <c r="C1178">
        <v>2007</v>
      </c>
      <c r="D1178" s="130">
        <v>23.5</v>
      </c>
      <c r="E1178" s="130">
        <v>-0.89999960000000001</v>
      </c>
      <c r="F1178" s="130">
        <v>18934.5</v>
      </c>
      <c r="G1178" s="130">
        <v>6.6193600000000005E-2</v>
      </c>
      <c r="H1178" s="16">
        <v>17000000</v>
      </c>
      <c r="I1178">
        <v>-9.5500000000000004E-5</v>
      </c>
    </row>
    <row r="1179" spans="1:9" x14ac:dyDescent="0.25">
      <c r="A1179" t="s">
        <v>400</v>
      </c>
      <c r="B1179" t="s">
        <v>132</v>
      </c>
      <c r="C1179">
        <v>2008</v>
      </c>
      <c r="D1179" s="130">
        <v>22.9</v>
      </c>
      <c r="E1179" s="130">
        <v>-0.60000039999999999</v>
      </c>
      <c r="F1179" s="130">
        <v>19902.5</v>
      </c>
      <c r="G1179" s="130">
        <v>4.9858100000000002E-2</v>
      </c>
      <c r="H1179" s="16">
        <v>18000000</v>
      </c>
      <c r="I1179">
        <v>1.4013100000000001E-2</v>
      </c>
    </row>
    <row r="1180" spans="1:9" x14ac:dyDescent="0.25">
      <c r="A1180" t="s">
        <v>400</v>
      </c>
      <c r="B1180" t="s">
        <v>132</v>
      </c>
      <c r="C1180">
        <v>2009</v>
      </c>
      <c r="D1180" s="130">
        <v>22.700001</v>
      </c>
      <c r="E1180" s="130">
        <v>-0.19999890000000001</v>
      </c>
      <c r="F1180" s="130">
        <v>20207.2</v>
      </c>
      <c r="G1180" s="130">
        <v>1.5195800000000001E-2</v>
      </c>
      <c r="H1180" s="16">
        <v>18000000</v>
      </c>
      <c r="I1180">
        <v>1.56131E-2</v>
      </c>
    </row>
    <row r="1181" spans="1:9" x14ac:dyDescent="0.25">
      <c r="A1181" t="s">
        <v>400</v>
      </c>
      <c r="B1181" t="s">
        <v>132</v>
      </c>
      <c r="C1181">
        <v>2010</v>
      </c>
      <c r="D1181" s="130">
        <v>22.799999</v>
      </c>
      <c r="E1181" s="130">
        <v>9.9998500000000004E-2</v>
      </c>
      <c r="F1181" s="130">
        <v>21012.2</v>
      </c>
      <c r="G1181" s="130">
        <v>3.9061499999999999E-2</v>
      </c>
      <c r="H1181" s="16">
        <v>18000000</v>
      </c>
      <c r="I1181">
        <v>1.5076900000000001E-2</v>
      </c>
    </row>
    <row r="1182" spans="1:9" x14ac:dyDescent="0.25">
      <c r="A1182" t="s">
        <v>400</v>
      </c>
      <c r="B1182" t="s">
        <v>132</v>
      </c>
      <c r="C1182">
        <v>2011</v>
      </c>
      <c r="D1182" s="130">
        <v>22.6</v>
      </c>
      <c r="E1182" s="130">
        <v>-0.19999890000000001</v>
      </c>
      <c r="F1182" s="130">
        <v>21748.2</v>
      </c>
      <c r="G1182" s="130">
        <v>3.4428599999999997E-2</v>
      </c>
      <c r="H1182" s="16">
        <v>18000000</v>
      </c>
      <c r="I1182">
        <v>1.37866E-2</v>
      </c>
    </row>
    <row r="1183" spans="1:9" x14ac:dyDescent="0.25">
      <c r="A1183" t="s">
        <v>400</v>
      </c>
      <c r="B1183" t="s">
        <v>132</v>
      </c>
      <c r="C1183">
        <v>2012</v>
      </c>
      <c r="D1183" s="130">
        <v>22.4</v>
      </c>
      <c r="E1183" s="130">
        <v>-0.20000080000000001</v>
      </c>
      <c r="F1183" s="130">
        <v>22142.6</v>
      </c>
      <c r="G1183" s="130">
        <v>1.7973900000000001E-2</v>
      </c>
      <c r="H1183" s="16">
        <v>19000000</v>
      </c>
      <c r="I1183">
        <v>7.5316000000000003E-3</v>
      </c>
    </row>
    <row r="1184" spans="1:9" x14ac:dyDescent="0.25">
      <c r="A1184" t="s">
        <v>400</v>
      </c>
      <c r="B1184" t="s">
        <v>132</v>
      </c>
      <c r="C1184">
        <v>2013</v>
      </c>
    </row>
    <row r="1185" spans="1:9" x14ac:dyDescent="0.25">
      <c r="A1185" t="s">
        <v>402</v>
      </c>
      <c r="B1185" t="s">
        <v>152</v>
      </c>
      <c r="C1185">
        <v>1991</v>
      </c>
      <c r="D1185" s="130">
        <v>15.4</v>
      </c>
      <c r="F1185" s="130">
        <v>23764.400000000001</v>
      </c>
      <c r="H1185" s="16">
        <v>1200000</v>
      </c>
    </row>
    <row r="1186" spans="1:9" x14ac:dyDescent="0.25">
      <c r="A1186" t="s">
        <v>402</v>
      </c>
      <c r="B1186" t="s">
        <v>152</v>
      </c>
      <c r="C1186">
        <v>1992</v>
      </c>
      <c r="D1186" s="130">
        <v>14.9</v>
      </c>
      <c r="E1186" s="130">
        <v>-0.5</v>
      </c>
      <c r="F1186" s="130">
        <v>24689.200000000001</v>
      </c>
      <c r="G1186" s="130">
        <v>3.8177500000000003E-2</v>
      </c>
      <c r="H1186" s="16">
        <v>1200000</v>
      </c>
      <c r="I1186">
        <v>9.6202000000000006E-3</v>
      </c>
    </row>
    <row r="1187" spans="1:9" x14ac:dyDescent="0.25">
      <c r="A1187" t="s">
        <v>402</v>
      </c>
      <c r="B1187" t="s">
        <v>152</v>
      </c>
      <c r="C1187">
        <v>1993</v>
      </c>
      <c r="D1187" s="130">
        <v>14.8</v>
      </c>
      <c r="E1187" s="130">
        <v>-9.9999400000000002E-2</v>
      </c>
      <c r="F1187" s="130">
        <v>25620</v>
      </c>
      <c r="G1187" s="130">
        <v>3.7005400000000001E-2</v>
      </c>
      <c r="H1187" s="16">
        <v>1300000</v>
      </c>
      <c r="I1187">
        <v>4.7405200000000002E-2</v>
      </c>
    </row>
    <row r="1188" spans="1:9" x14ac:dyDescent="0.25">
      <c r="A1188" t="s">
        <v>402</v>
      </c>
      <c r="B1188" t="s">
        <v>152</v>
      </c>
      <c r="C1188">
        <v>1994</v>
      </c>
      <c r="D1188" s="130">
        <v>15.1</v>
      </c>
      <c r="E1188" s="130">
        <v>0.30000019999999999</v>
      </c>
      <c r="F1188" s="130">
        <v>26445.3</v>
      </c>
      <c r="G1188" s="130">
        <v>3.1705900000000002E-2</v>
      </c>
      <c r="H1188" s="16">
        <v>1300000</v>
      </c>
      <c r="I1188">
        <v>3.5633000000000001E-3</v>
      </c>
    </row>
    <row r="1189" spans="1:9" x14ac:dyDescent="0.25">
      <c r="A1189" t="s">
        <v>402</v>
      </c>
      <c r="B1189" t="s">
        <v>152</v>
      </c>
      <c r="C1189">
        <v>1995</v>
      </c>
      <c r="D1189" s="130">
        <v>15.1</v>
      </c>
      <c r="E1189" s="130">
        <v>0</v>
      </c>
      <c r="F1189" s="130">
        <v>27393.8</v>
      </c>
      <c r="G1189" s="130">
        <v>3.5237299999999999E-2</v>
      </c>
      <c r="H1189" s="16">
        <v>1300000</v>
      </c>
      <c r="I1189">
        <v>5.6822000000000001E-3</v>
      </c>
    </row>
    <row r="1190" spans="1:9" x14ac:dyDescent="0.25">
      <c r="A1190" t="s">
        <v>402</v>
      </c>
      <c r="B1190" t="s">
        <v>152</v>
      </c>
      <c r="C1190">
        <v>1996</v>
      </c>
      <c r="D1190" s="130">
        <v>14.8</v>
      </c>
      <c r="E1190" s="130">
        <v>-0.30000019999999999</v>
      </c>
      <c r="F1190" s="130">
        <v>27715.9</v>
      </c>
      <c r="G1190" s="130">
        <v>1.1691999999999999E-2</v>
      </c>
      <c r="H1190" s="16">
        <v>1300000</v>
      </c>
      <c r="I1190">
        <v>3.8406999999999997E-2</v>
      </c>
    </row>
    <row r="1191" spans="1:9" x14ac:dyDescent="0.25">
      <c r="A1191" t="s">
        <v>402</v>
      </c>
      <c r="B1191" t="s">
        <v>152</v>
      </c>
      <c r="C1191">
        <v>1997</v>
      </c>
      <c r="D1191" s="130">
        <v>14.7</v>
      </c>
      <c r="E1191" s="130">
        <v>-0.1000004</v>
      </c>
      <c r="F1191" s="130">
        <v>28799.9</v>
      </c>
      <c r="G1191" s="130">
        <v>3.8366299999999999E-2</v>
      </c>
      <c r="H1191" s="16">
        <v>1400000</v>
      </c>
      <c r="I1191">
        <v>3.71381E-2</v>
      </c>
    </row>
    <row r="1192" spans="1:9" x14ac:dyDescent="0.25">
      <c r="A1192" t="s">
        <v>402</v>
      </c>
      <c r="B1192" t="s">
        <v>152</v>
      </c>
      <c r="C1192">
        <v>1998</v>
      </c>
      <c r="D1192" s="130">
        <v>14</v>
      </c>
      <c r="E1192" s="130">
        <v>-0.69999979999999995</v>
      </c>
      <c r="F1192" s="130">
        <v>30176.6</v>
      </c>
      <c r="G1192" s="130">
        <v>4.66928E-2</v>
      </c>
      <c r="H1192" s="16">
        <v>1400000</v>
      </c>
      <c r="I1192">
        <v>1.1929499999999999E-2</v>
      </c>
    </row>
    <row r="1193" spans="1:9" x14ac:dyDescent="0.25">
      <c r="A1193" t="s">
        <v>402</v>
      </c>
      <c r="B1193" t="s">
        <v>152</v>
      </c>
      <c r="C1193">
        <v>1999</v>
      </c>
      <c r="D1193" s="130">
        <v>14.6</v>
      </c>
      <c r="E1193" s="130">
        <v>0.60000039999999999</v>
      </c>
      <c r="F1193" s="130">
        <v>31008.1</v>
      </c>
      <c r="G1193" s="130">
        <v>2.7179700000000001E-2</v>
      </c>
      <c r="H1193" s="16">
        <v>1400000</v>
      </c>
      <c r="I1193">
        <v>8.4671999999999994E-3</v>
      </c>
    </row>
    <row r="1194" spans="1:9" x14ac:dyDescent="0.25">
      <c r="A1194" t="s">
        <v>402</v>
      </c>
      <c r="B1194" t="s">
        <v>152</v>
      </c>
      <c r="C1194">
        <v>2000</v>
      </c>
      <c r="D1194" s="130">
        <v>14.5</v>
      </c>
      <c r="E1194" s="130">
        <v>-0.1000004</v>
      </c>
      <c r="F1194" s="130">
        <v>32875.1</v>
      </c>
      <c r="G1194" s="130">
        <v>5.8468800000000001E-2</v>
      </c>
      <c r="H1194" s="16">
        <v>1400000</v>
      </c>
      <c r="I1194">
        <v>-2.1451999999999999E-2</v>
      </c>
    </row>
    <row r="1195" spans="1:9" x14ac:dyDescent="0.25">
      <c r="A1195" t="s">
        <v>402</v>
      </c>
      <c r="B1195" t="s">
        <v>152</v>
      </c>
      <c r="C1195">
        <v>2001</v>
      </c>
      <c r="D1195" s="130">
        <v>13.9</v>
      </c>
      <c r="E1195" s="130">
        <v>-0.60000039999999999</v>
      </c>
      <c r="F1195" s="130">
        <v>33296.800000000003</v>
      </c>
      <c r="G1195" s="130">
        <v>1.2746800000000001E-2</v>
      </c>
      <c r="H1195" s="16">
        <v>1400000</v>
      </c>
      <c r="I1195">
        <v>1.9081999999999998E-2</v>
      </c>
    </row>
    <row r="1196" spans="1:9" x14ac:dyDescent="0.25">
      <c r="A1196" t="s">
        <v>402</v>
      </c>
      <c r="B1196" t="s">
        <v>152</v>
      </c>
      <c r="C1196">
        <v>2002</v>
      </c>
      <c r="D1196" s="130">
        <v>14.9</v>
      </c>
      <c r="E1196" s="130">
        <v>1</v>
      </c>
      <c r="F1196" s="130">
        <v>33975.699999999997</v>
      </c>
      <c r="G1196" s="130">
        <v>2.0183599999999999E-2</v>
      </c>
      <c r="H1196" s="16">
        <v>1400000</v>
      </c>
      <c r="I1196">
        <v>1.7973300000000001E-2</v>
      </c>
    </row>
    <row r="1197" spans="1:9" x14ac:dyDescent="0.25">
      <c r="A1197" t="s">
        <v>402</v>
      </c>
      <c r="B1197" t="s">
        <v>152</v>
      </c>
      <c r="C1197">
        <v>2003</v>
      </c>
      <c r="D1197" s="130">
        <v>14.2</v>
      </c>
      <c r="E1197" s="130">
        <v>-0.69999979999999995</v>
      </c>
      <c r="F1197" s="130">
        <v>34749.300000000003</v>
      </c>
      <c r="G1197" s="130">
        <v>2.2514300000000001E-2</v>
      </c>
      <c r="H1197" s="16">
        <v>1400000</v>
      </c>
      <c r="I1197">
        <v>1.7221299999999998E-2</v>
      </c>
    </row>
    <row r="1198" spans="1:9" x14ac:dyDescent="0.25">
      <c r="A1198" t="s">
        <v>402</v>
      </c>
      <c r="B1198" t="s">
        <v>152</v>
      </c>
      <c r="C1198">
        <v>2004</v>
      </c>
      <c r="D1198" s="130">
        <v>14.5</v>
      </c>
      <c r="E1198" s="130">
        <v>0.30000019999999999</v>
      </c>
      <c r="F1198" s="130">
        <v>35432.6</v>
      </c>
      <c r="G1198" s="130">
        <v>1.9471200000000001E-2</v>
      </c>
      <c r="H1198" s="16">
        <v>1400000</v>
      </c>
      <c r="I1198">
        <v>1.9770999999999999E-3</v>
      </c>
    </row>
    <row r="1199" spans="1:9" x14ac:dyDescent="0.25">
      <c r="A1199" t="s">
        <v>402</v>
      </c>
      <c r="B1199" t="s">
        <v>152</v>
      </c>
      <c r="C1199">
        <v>2005</v>
      </c>
      <c r="D1199" s="130">
        <v>14.6</v>
      </c>
      <c r="E1199" s="130">
        <v>0.1000004</v>
      </c>
      <c r="F1199" s="130">
        <v>34778.6</v>
      </c>
      <c r="G1199" s="130">
        <v>-1.8629099999999999E-2</v>
      </c>
      <c r="H1199" s="16">
        <v>1500000</v>
      </c>
      <c r="I1199">
        <v>2.7854799999999999E-2</v>
      </c>
    </row>
    <row r="1200" spans="1:9" x14ac:dyDescent="0.25">
      <c r="A1200" t="s">
        <v>402</v>
      </c>
      <c r="B1200" t="s">
        <v>152</v>
      </c>
      <c r="C1200">
        <v>2006</v>
      </c>
      <c r="D1200" s="130">
        <v>15</v>
      </c>
      <c r="E1200" s="130">
        <v>0.39999960000000001</v>
      </c>
      <c r="F1200" s="130">
        <v>34433.9</v>
      </c>
      <c r="G1200" s="130">
        <v>-9.9611000000000005E-3</v>
      </c>
      <c r="H1200" s="16">
        <v>1400000</v>
      </c>
      <c r="I1200">
        <v>-7.7127000000000003E-3</v>
      </c>
    </row>
    <row r="1201" spans="1:9" x14ac:dyDescent="0.25">
      <c r="A1201" t="s">
        <v>402</v>
      </c>
      <c r="B1201" t="s">
        <v>152</v>
      </c>
      <c r="C1201">
        <v>2007</v>
      </c>
      <c r="D1201" s="130">
        <v>15.4</v>
      </c>
      <c r="E1201" s="130">
        <v>0.39999960000000001</v>
      </c>
      <c r="F1201" s="130">
        <v>34233.5</v>
      </c>
      <c r="G1201" s="130">
        <v>-5.8355000000000004E-3</v>
      </c>
      <c r="H1201" s="16">
        <v>1400000</v>
      </c>
      <c r="I1201">
        <v>-2.9394300000000002E-2</v>
      </c>
    </row>
    <row r="1202" spans="1:9" x14ac:dyDescent="0.25">
      <c r="A1202" t="s">
        <v>402</v>
      </c>
      <c r="B1202" t="s">
        <v>152</v>
      </c>
      <c r="C1202">
        <v>2008</v>
      </c>
      <c r="D1202" s="130">
        <v>14.6</v>
      </c>
      <c r="E1202" s="130">
        <v>-0.79999920000000002</v>
      </c>
      <c r="F1202" s="130">
        <v>33799.9</v>
      </c>
      <c r="G1202" s="130">
        <v>-1.27478E-2</v>
      </c>
      <c r="H1202" s="16">
        <v>1400000</v>
      </c>
      <c r="I1202">
        <v>-2.91551E-2</v>
      </c>
    </row>
    <row r="1203" spans="1:9" x14ac:dyDescent="0.25">
      <c r="A1203" t="s">
        <v>402</v>
      </c>
      <c r="B1203" t="s">
        <v>152</v>
      </c>
      <c r="C1203">
        <v>2009</v>
      </c>
      <c r="D1203" s="130">
        <v>14.7</v>
      </c>
      <c r="E1203" s="130">
        <v>9.9999400000000002E-2</v>
      </c>
      <c r="F1203" s="130">
        <v>33321.199999999997</v>
      </c>
      <c r="G1203" s="130">
        <v>-1.42641E-2</v>
      </c>
      <c r="H1203" s="16">
        <v>1400000</v>
      </c>
      <c r="I1203">
        <v>3.8416000000000001E-3</v>
      </c>
    </row>
    <row r="1204" spans="1:9" x14ac:dyDescent="0.25">
      <c r="A1204" t="s">
        <v>402</v>
      </c>
      <c r="B1204" t="s">
        <v>152</v>
      </c>
      <c r="C1204">
        <v>2010</v>
      </c>
      <c r="D1204" s="130">
        <v>14.7</v>
      </c>
      <c r="E1204" s="130">
        <v>0</v>
      </c>
      <c r="F1204" s="130">
        <v>33354.699999999997</v>
      </c>
      <c r="G1204" s="130">
        <v>1.0061E-3</v>
      </c>
      <c r="H1204" s="16">
        <v>1300000</v>
      </c>
      <c r="I1204">
        <v>-6.8196300000000001E-2</v>
      </c>
    </row>
    <row r="1205" spans="1:9" x14ac:dyDescent="0.25">
      <c r="A1205" t="s">
        <v>402</v>
      </c>
      <c r="B1205" t="s">
        <v>152</v>
      </c>
      <c r="C1205">
        <v>2011</v>
      </c>
      <c r="D1205" s="130">
        <v>15.3</v>
      </c>
      <c r="E1205" s="130">
        <v>0.60000039999999999</v>
      </c>
      <c r="F1205" s="130">
        <v>33512.300000000003</v>
      </c>
      <c r="G1205" s="130">
        <v>4.7130999999999996E-3</v>
      </c>
      <c r="H1205" s="16">
        <v>1300000</v>
      </c>
      <c r="I1205">
        <v>-3.3144399999999997E-2</v>
      </c>
    </row>
    <row r="1206" spans="1:9" x14ac:dyDescent="0.25">
      <c r="A1206" t="s">
        <v>402</v>
      </c>
      <c r="B1206" t="s">
        <v>152</v>
      </c>
      <c r="C1206">
        <v>2012</v>
      </c>
      <c r="D1206" s="130">
        <v>15.6</v>
      </c>
      <c r="E1206" s="130">
        <v>0.30000019999999999</v>
      </c>
      <c r="F1206" s="130">
        <v>33933.4</v>
      </c>
      <c r="G1206" s="130">
        <v>1.24855E-2</v>
      </c>
      <c r="H1206" s="16">
        <v>1200000</v>
      </c>
      <c r="I1206">
        <v>-1.07987E-2</v>
      </c>
    </row>
    <row r="1207" spans="1:9" x14ac:dyDescent="0.25">
      <c r="A1207" t="s">
        <v>402</v>
      </c>
      <c r="B1207" t="s">
        <v>152</v>
      </c>
      <c r="C1207">
        <v>2013</v>
      </c>
    </row>
    <row r="1208" spans="1:9" x14ac:dyDescent="0.25">
      <c r="A1208" t="s">
        <v>401</v>
      </c>
      <c r="B1208" t="s">
        <v>146</v>
      </c>
      <c r="C1208">
        <v>1990</v>
      </c>
      <c r="D1208" s="130">
        <v>28.799999</v>
      </c>
      <c r="F1208" s="130">
        <v>19281.400000000001</v>
      </c>
      <c r="H1208" s="16">
        <v>4800000</v>
      </c>
    </row>
    <row r="1209" spans="1:9" x14ac:dyDescent="0.25">
      <c r="A1209" t="s">
        <v>401</v>
      </c>
      <c r="B1209" t="s">
        <v>146</v>
      </c>
      <c r="C1209">
        <v>1991</v>
      </c>
      <c r="D1209" s="130">
        <v>30.299999</v>
      </c>
      <c r="E1209" s="130">
        <v>1.5</v>
      </c>
      <c r="F1209" s="130">
        <v>20170.099999999999</v>
      </c>
      <c r="G1209" s="130">
        <v>4.5060200000000002E-2</v>
      </c>
      <c r="H1209" s="16">
        <v>4800000</v>
      </c>
      <c r="I1209">
        <v>1.8817199999999999E-2</v>
      </c>
    </row>
    <row r="1210" spans="1:9" x14ac:dyDescent="0.25">
      <c r="A1210" t="s">
        <v>401</v>
      </c>
      <c r="B1210" t="s">
        <v>146</v>
      </c>
      <c r="C1210">
        <v>1992</v>
      </c>
      <c r="D1210" s="130">
        <v>25.6</v>
      </c>
      <c r="E1210" s="130">
        <v>-4.699999</v>
      </c>
      <c r="F1210" s="130">
        <v>20405.7</v>
      </c>
      <c r="G1210" s="130">
        <v>1.1612900000000001E-2</v>
      </c>
      <c r="H1210" s="16">
        <v>4700000</v>
      </c>
      <c r="I1210">
        <v>-2.87455E-2</v>
      </c>
    </row>
    <row r="1211" spans="1:9" x14ac:dyDescent="0.25">
      <c r="A1211" t="s">
        <v>401</v>
      </c>
      <c r="B1211" t="s">
        <v>146</v>
      </c>
      <c r="C1211">
        <v>1993</v>
      </c>
      <c r="D1211" s="130">
        <v>25.799999</v>
      </c>
      <c r="E1211" s="130">
        <v>0.19999890000000001</v>
      </c>
      <c r="F1211" s="130">
        <v>19964.3</v>
      </c>
      <c r="G1211" s="130">
        <v>-2.18678E-2</v>
      </c>
      <c r="H1211" s="16">
        <v>4700000</v>
      </c>
      <c r="I1211">
        <v>2.8971000000000001E-3</v>
      </c>
    </row>
    <row r="1212" spans="1:9" x14ac:dyDescent="0.25">
      <c r="A1212" t="s">
        <v>401</v>
      </c>
      <c r="B1212" t="s">
        <v>146</v>
      </c>
      <c r="C1212">
        <v>1994</v>
      </c>
      <c r="D1212" s="130">
        <v>27.299999</v>
      </c>
      <c r="E1212" s="130">
        <v>1.5</v>
      </c>
      <c r="F1212" s="130">
        <v>20102.8</v>
      </c>
      <c r="G1212" s="130">
        <v>6.9113000000000004E-3</v>
      </c>
      <c r="H1212" s="16">
        <v>4800000</v>
      </c>
      <c r="I1212">
        <v>1.2389300000000001E-2</v>
      </c>
    </row>
    <row r="1213" spans="1:9" x14ac:dyDescent="0.25">
      <c r="A1213" t="s">
        <v>401</v>
      </c>
      <c r="B1213" t="s">
        <v>146</v>
      </c>
      <c r="C1213">
        <v>1995</v>
      </c>
      <c r="D1213" s="130">
        <v>27.700001</v>
      </c>
      <c r="E1213" s="130">
        <v>0.40000150000000001</v>
      </c>
      <c r="F1213" s="130">
        <v>20891.3</v>
      </c>
      <c r="G1213" s="130">
        <v>3.8474099999999997E-2</v>
      </c>
      <c r="H1213" s="16">
        <v>4800000</v>
      </c>
      <c r="I1213">
        <v>6.3000000000000003E-4</v>
      </c>
    </row>
    <row r="1214" spans="1:9" x14ac:dyDescent="0.25">
      <c r="A1214" t="s">
        <v>401</v>
      </c>
      <c r="B1214" t="s">
        <v>146</v>
      </c>
      <c r="C1214">
        <v>1996</v>
      </c>
      <c r="D1214" s="130">
        <v>28.4</v>
      </c>
      <c r="E1214" s="130">
        <v>0.69999889999999998</v>
      </c>
      <c r="F1214" s="130">
        <v>21580.6</v>
      </c>
      <c r="G1214" s="130">
        <v>3.2461200000000003E-2</v>
      </c>
      <c r="H1214" s="16">
        <v>4900000</v>
      </c>
      <c r="I1214">
        <v>1.7759400000000002E-2</v>
      </c>
    </row>
    <row r="1215" spans="1:9" x14ac:dyDescent="0.25">
      <c r="A1215" t="s">
        <v>401</v>
      </c>
      <c r="B1215" t="s">
        <v>146</v>
      </c>
      <c r="C1215">
        <v>1997</v>
      </c>
      <c r="D1215" s="130">
        <v>28.4</v>
      </c>
      <c r="E1215" s="130">
        <v>0</v>
      </c>
      <c r="F1215" s="130">
        <v>22431.200000000001</v>
      </c>
      <c r="G1215" s="130">
        <v>3.8661000000000001E-2</v>
      </c>
      <c r="H1215" s="16">
        <v>5000000</v>
      </c>
      <c r="I1215">
        <v>2.3418899999999999E-2</v>
      </c>
    </row>
    <row r="1216" spans="1:9" x14ac:dyDescent="0.25">
      <c r="A1216" t="s">
        <v>401</v>
      </c>
      <c r="B1216" t="s">
        <v>146</v>
      </c>
      <c r="C1216">
        <v>1998</v>
      </c>
      <c r="D1216" s="130">
        <v>28.200001</v>
      </c>
      <c r="E1216" s="130">
        <v>-0.19999890000000001</v>
      </c>
      <c r="F1216" s="130">
        <v>23464.9</v>
      </c>
      <c r="G1216" s="130">
        <v>4.5053500000000003E-2</v>
      </c>
      <c r="H1216" s="16">
        <v>5100000</v>
      </c>
      <c r="I1216">
        <v>2.37495E-2</v>
      </c>
    </row>
    <row r="1217" spans="1:9" x14ac:dyDescent="0.25">
      <c r="A1217" t="s">
        <v>401</v>
      </c>
      <c r="B1217" t="s">
        <v>146</v>
      </c>
      <c r="C1217">
        <v>1999</v>
      </c>
      <c r="D1217" s="130">
        <v>26.799999</v>
      </c>
      <c r="E1217" s="130">
        <v>-1.400002</v>
      </c>
      <c r="F1217" s="130">
        <v>24283</v>
      </c>
      <c r="G1217" s="130">
        <v>3.4267400000000003E-2</v>
      </c>
      <c r="H1217" s="16">
        <v>5200000</v>
      </c>
      <c r="I1217">
        <v>1.1508000000000001E-2</v>
      </c>
    </row>
    <row r="1218" spans="1:9" x14ac:dyDescent="0.25">
      <c r="A1218" t="s">
        <v>401</v>
      </c>
      <c r="B1218" t="s">
        <v>146</v>
      </c>
      <c r="C1218">
        <v>2000</v>
      </c>
      <c r="D1218" s="130">
        <v>25.9</v>
      </c>
      <c r="E1218" s="130">
        <v>-0.89999960000000001</v>
      </c>
      <c r="F1218" s="130">
        <v>25057.1</v>
      </c>
      <c r="G1218" s="130">
        <v>3.1380699999999997E-2</v>
      </c>
      <c r="H1218" s="16">
        <v>5300000</v>
      </c>
      <c r="I1218">
        <v>2.1515300000000001E-2</v>
      </c>
    </row>
    <row r="1219" spans="1:9" x14ac:dyDescent="0.25">
      <c r="A1219" t="s">
        <v>401</v>
      </c>
      <c r="B1219" t="s">
        <v>146</v>
      </c>
      <c r="C1219">
        <v>2001</v>
      </c>
      <c r="D1219" s="130">
        <v>27.799999</v>
      </c>
      <c r="E1219" s="130">
        <v>1.9</v>
      </c>
      <c r="F1219" s="130">
        <v>25372.3</v>
      </c>
      <c r="G1219" s="130">
        <v>1.25027E-2</v>
      </c>
      <c r="H1219" s="16">
        <v>5400000</v>
      </c>
      <c r="I1219">
        <v>2.1159500000000001E-2</v>
      </c>
    </row>
    <row r="1220" spans="1:9" x14ac:dyDescent="0.25">
      <c r="A1220" t="s">
        <v>401</v>
      </c>
      <c r="B1220" t="s">
        <v>146</v>
      </c>
      <c r="C1220">
        <v>2002</v>
      </c>
      <c r="D1220" s="130">
        <v>27.4</v>
      </c>
      <c r="E1220" s="130">
        <v>-0.39999960000000001</v>
      </c>
      <c r="F1220" s="130">
        <v>25426.6</v>
      </c>
      <c r="G1220" s="130">
        <v>2.1381E-3</v>
      </c>
      <c r="H1220" s="16">
        <v>5400000</v>
      </c>
      <c r="I1220">
        <v>1.53283E-2</v>
      </c>
    </row>
    <row r="1221" spans="1:9" x14ac:dyDescent="0.25">
      <c r="A1221" t="s">
        <v>401</v>
      </c>
      <c r="B1221" t="s">
        <v>146</v>
      </c>
      <c r="C1221">
        <v>2003</v>
      </c>
      <c r="D1221" s="130">
        <v>27.200001</v>
      </c>
      <c r="E1221" s="130">
        <v>-0.19999890000000001</v>
      </c>
      <c r="F1221" s="130">
        <v>25100.5</v>
      </c>
      <c r="G1221" s="130">
        <v>-1.2907E-2</v>
      </c>
      <c r="H1221" s="16">
        <v>5500000</v>
      </c>
      <c r="I1221">
        <v>5.6303000000000004E-3</v>
      </c>
    </row>
    <row r="1222" spans="1:9" x14ac:dyDescent="0.25">
      <c r="A1222" t="s">
        <v>401</v>
      </c>
      <c r="B1222" t="s">
        <v>146</v>
      </c>
      <c r="C1222">
        <v>2004</v>
      </c>
      <c r="D1222" s="130">
        <v>25.9</v>
      </c>
      <c r="E1222" s="130">
        <v>-1.300001</v>
      </c>
      <c r="F1222" s="130">
        <v>25431.3</v>
      </c>
      <c r="G1222" s="130">
        <v>1.3091999999999999E-2</v>
      </c>
      <c r="H1222" s="16">
        <v>5500000</v>
      </c>
      <c r="I1222">
        <v>1.4650000000000001E-4</v>
      </c>
    </row>
    <row r="1223" spans="1:9" x14ac:dyDescent="0.25">
      <c r="A1223" t="s">
        <v>401</v>
      </c>
      <c r="B1223" t="s">
        <v>146</v>
      </c>
      <c r="C1223">
        <v>2005</v>
      </c>
      <c r="D1223" s="130">
        <v>25.5</v>
      </c>
      <c r="E1223" s="130">
        <v>-0.39999960000000001</v>
      </c>
      <c r="F1223" s="130">
        <v>25580.9</v>
      </c>
      <c r="G1223" s="130">
        <v>5.8650999999999998E-3</v>
      </c>
      <c r="H1223" s="16">
        <v>5500000</v>
      </c>
      <c r="I1223">
        <v>1.06506E-2</v>
      </c>
    </row>
    <row r="1224" spans="1:9" x14ac:dyDescent="0.25">
      <c r="A1224" t="s">
        <v>401</v>
      </c>
      <c r="B1224" t="s">
        <v>146</v>
      </c>
      <c r="C1224">
        <v>2006</v>
      </c>
      <c r="D1224" s="130">
        <v>24.5</v>
      </c>
      <c r="E1224" s="130">
        <v>-1</v>
      </c>
      <c r="F1224" s="130">
        <v>25904.7</v>
      </c>
      <c r="G1224" s="130">
        <v>1.25761E-2</v>
      </c>
      <c r="H1224" s="16">
        <v>5500000</v>
      </c>
      <c r="I1224">
        <v>8.8047999999999998E-3</v>
      </c>
    </row>
    <row r="1225" spans="1:9" x14ac:dyDescent="0.25">
      <c r="A1225" t="s">
        <v>401</v>
      </c>
      <c r="B1225" t="s">
        <v>146</v>
      </c>
      <c r="C1225">
        <v>2007</v>
      </c>
      <c r="D1225" s="130">
        <v>24.5</v>
      </c>
      <c r="E1225" s="130">
        <v>0</v>
      </c>
      <c r="F1225" s="130">
        <v>26465.4</v>
      </c>
      <c r="G1225" s="130">
        <v>2.1414800000000001E-2</v>
      </c>
      <c r="H1225" s="16">
        <v>5600000</v>
      </c>
      <c r="I1225">
        <v>7.2042E-3</v>
      </c>
    </row>
    <row r="1226" spans="1:9" x14ac:dyDescent="0.25">
      <c r="A1226" t="s">
        <v>401</v>
      </c>
      <c r="B1226" t="s">
        <v>146</v>
      </c>
      <c r="C1226">
        <v>2008</v>
      </c>
      <c r="D1226" s="130">
        <v>24</v>
      </c>
      <c r="E1226" s="130">
        <v>-0.5</v>
      </c>
      <c r="F1226" s="130">
        <v>26425</v>
      </c>
      <c r="G1226" s="130">
        <v>-1.5268E-3</v>
      </c>
      <c r="H1226" s="16">
        <v>5600000</v>
      </c>
      <c r="I1226">
        <v>1.0632E-3</v>
      </c>
    </row>
    <row r="1227" spans="1:9" x14ac:dyDescent="0.25">
      <c r="A1227" t="s">
        <v>401</v>
      </c>
      <c r="B1227" t="s">
        <v>146</v>
      </c>
      <c r="C1227">
        <v>2009</v>
      </c>
      <c r="D1227" s="130">
        <v>23.700001</v>
      </c>
      <c r="E1227" s="130">
        <v>-0.29999920000000002</v>
      </c>
      <c r="F1227" s="130">
        <v>25632</v>
      </c>
      <c r="G1227" s="130">
        <v>-3.0467999999999999E-2</v>
      </c>
      <c r="H1227" s="16">
        <v>5500000</v>
      </c>
      <c r="I1227">
        <v>-8.8392000000000002E-3</v>
      </c>
    </row>
    <row r="1228" spans="1:9" x14ac:dyDescent="0.25">
      <c r="A1228" t="s">
        <v>401</v>
      </c>
      <c r="B1228" t="s">
        <v>146</v>
      </c>
      <c r="C1228">
        <v>2010</v>
      </c>
      <c r="D1228" s="130">
        <v>22.799999</v>
      </c>
      <c r="E1228" s="130">
        <v>-0.90000150000000001</v>
      </c>
      <c r="F1228" s="130">
        <v>26116.400000000001</v>
      </c>
      <c r="G1228" s="130">
        <v>1.8719699999999999E-2</v>
      </c>
      <c r="H1228" s="16">
        <v>5600000</v>
      </c>
      <c r="I1228">
        <v>1.9562999999999998E-3</v>
      </c>
    </row>
    <row r="1229" spans="1:9" x14ac:dyDescent="0.25">
      <c r="A1229" t="s">
        <v>401</v>
      </c>
      <c r="B1229" t="s">
        <v>146</v>
      </c>
      <c r="C1229">
        <v>2011</v>
      </c>
      <c r="D1229" s="130">
        <v>21.1</v>
      </c>
      <c r="E1229" s="130">
        <v>-1.699999</v>
      </c>
      <c r="F1229" s="130">
        <v>25827.8</v>
      </c>
      <c r="G1229" s="130">
        <v>-1.11132E-2</v>
      </c>
      <c r="H1229" s="16">
        <v>5500000</v>
      </c>
      <c r="I1229">
        <v>-1.1498100000000001E-2</v>
      </c>
    </row>
    <row r="1230" spans="1:9" x14ac:dyDescent="0.25">
      <c r="A1230" t="s">
        <v>401</v>
      </c>
      <c r="B1230" t="s">
        <v>146</v>
      </c>
      <c r="C1230">
        <v>2012</v>
      </c>
      <c r="D1230" s="130">
        <v>21.700001</v>
      </c>
      <c r="E1230" s="130">
        <v>0.60000039999999999</v>
      </c>
      <c r="F1230" s="130">
        <v>25096.3</v>
      </c>
      <c r="G1230" s="130">
        <v>-2.8728500000000001E-2</v>
      </c>
      <c r="H1230" s="16">
        <v>5500000</v>
      </c>
      <c r="I1230">
        <v>-6.7866000000000003E-3</v>
      </c>
    </row>
    <row r="1231" spans="1:9" x14ac:dyDescent="0.25">
      <c r="A1231" t="s">
        <v>401</v>
      </c>
      <c r="B1231" t="s">
        <v>146</v>
      </c>
      <c r="C1231">
        <v>2013</v>
      </c>
    </row>
    <row r="1232" spans="1:9" x14ac:dyDescent="0.25">
      <c r="A1232" t="s">
        <v>397</v>
      </c>
      <c r="B1232" t="s">
        <v>100</v>
      </c>
      <c r="C1232">
        <v>1990</v>
      </c>
      <c r="D1232" s="130">
        <v>31.9</v>
      </c>
      <c r="F1232" s="130">
        <v>6189.76</v>
      </c>
      <c r="H1232" s="16">
        <v>1800000</v>
      </c>
    </row>
    <row r="1233" spans="1:9" x14ac:dyDescent="0.25">
      <c r="A1233" t="s">
        <v>397</v>
      </c>
      <c r="B1233" t="s">
        <v>100</v>
      </c>
      <c r="C1233">
        <v>1991</v>
      </c>
      <c r="D1233" s="130">
        <v>32.099997999999999</v>
      </c>
      <c r="E1233" s="130">
        <v>0.19999890000000001</v>
      </c>
      <c r="F1233" s="130">
        <v>6243.5</v>
      </c>
      <c r="G1233" s="130">
        <v>8.6450999999999993E-3</v>
      </c>
      <c r="H1233" s="16">
        <v>1900000</v>
      </c>
      <c r="I1233">
        <v>3.2368800000000003E-2</v>
      </c>
    </row>
    <row r="1234" spans="1:9" x14ac:dyDescent="0.25">
      <c r="A1234" t="s">
        <v>397</v>
      </c>
      <c r="B1234" t="s">
        <v>100</v>
      </c>
      <c r="C1234">
        <v>1992</v>
      </c>
      <c r="D1234" s="130">
        <v>31.5</v>
      </c>
      <c r="E1234" s="130">
        <v>-0.59999849999999999</v>
      </c>
      <c r="F1234" s="130">
        <v>6192.39</v>
      </c>
      <c r="G1234" s="130">
        <v>-8.2216000000000008E-3</v>
      </c>
      <c r="H1234" s="16">
        <v>1900000</v>
      </c>
      <c r="I1234">
        <v>3.1866400000000003E-2</v>
      </c>
    </row>
    <row r="1235" spans="1:9" x14ac:dyDescent="0.25">
      <c r="A1235" t="s">
        <v>397</v>
      </c>
      <c r="B1235" t="s">
        <v>100</v>
      </c>
      <c r="C1235">
        <v>1993</v>
      </c>
      <c r="D1235" s="130">
        <v>31.5</v>
      </c>
      <c r="E1235" s="130">
        <v>0</v>
      </c>
      <c r="F1235" s="130">
        <v>6341.4</v>
      </c>
      <c r="G1235" s="130">
        <v>2.3778899999999999E-2</v>
      </c>
      <c r="H1235" s="16">
        <v>2000000</v>
      </c>
      <c r="I1235">
        <v>3.2949199999999998E-2</v>
      </c>
    </row>
    <row r="1236" spans="1:9" x14ac:dyDescent="0.25">
      <c r="A1236" t="s">
        <v>397</v>
      </c>
      <c r="B1236" t="s">
        <v>100</v>
      </c>
      <c r="C1236">
        <v>1994</v>
      </c>
      <c r="D1236" s="130">
        <v>38.099997999999999</v>
      </c>
      <c r="E1236" s="130">
        <v>6.5999980000000003</v>
      </c>
      <c r="F1236" s="130">
        <v>6521.61</v>
      </c>
      <c r="G1236" s="130">
        <v>2.8021799999999999E-2</v>
      </c>
      <c r="H1236" s="16">
        <v>2000000</v>
      </c>
      <c r="I1236">
        <v>3.4266600000000001E-2</v>
      </c>
    </row>
    <row r="1237" spans="1:9" x14ac:dyDescent="0.25">
      <c r="A1237" t="s">
        <v>397</v>
      </c>
      <c r="B1237" t="s">
        <v>100</v>
      </c>
      <c r="C1237">
        <v>1995</v>
      </c>
      <c r="F1237" s="130">
        <v>6806.77</v>
      </c>
      <c r="G1237" s="130">
        <v>4.2797099999999998E-2</v>
      </c>
      <c r="H1237" s="16">
        <v>2100000</v>
      </c>
      <c r="I1237">
        <v>3.7332299999999999E-2</v>
      </c>
    </row>
    <row r="1238" spans="1:9" x14ac:dyDescent="0.25">
      <c r="A1238" t="s">
        <v>397</v>
      </c>
      <c r="B1238" t="s">
        <v>100</v>
      </c>
      <c r="C1238">
        <v>1996</v>
      </c>
      <c r="D1238" s="130">
        <v>41.900002000000001</v>
      </c>
      <c r="F1238" s="130">
        <v>6759.25</v>
      </c>
      <c r="G1238" s="130">
        <v>-7.0066E-3</v>
      </c>
      <c r="H1238" s="16">
        <v>2100000</v>
      </c>
      <c r="I1238">
        <v>4.6800000000000001E-3</v>
      </c>
    </row>
    <row r="1239" spans="1:9" x14ac:dyDescent="0.25">
      <c r="A1239" t="s">
        <v>397</v>
      </c>
      <c r="B1239" t="s">
        <v>100</v>
      </c>
      <c r="C1239">
        <v>1997</v>
      </c>
      <c r="D1239" s="130">
        <v>53.599997999999999</v>
      </c>
      <c r="E1239" s="130">
        <v>11.7</v>
      </c>
      <c r="F1239" s="130">
        <v>6892.25</v>
      </c>
      <c r="G1239" s="130">
        <v>1.9487399999999998E-2</v>
      </c>
      <c r="H1239" s="16">
        <v>2100000</v>
      </c>
      <c r="I1239">
        <v>9.0629999999999997E-4</v>
      </c>
    </row>
    <row r="1240" spans="1:9" x14ac:dyDescent="0.25">
      <c r="A1240" t="s">
        <v>397</v>
      </c>
      <c r="B1240" t="s">
        <v>100</v>
      </c>
      <c r="C1240">
        <v>1998</v>
      </c>
      <c r="D1240" s="130">
        <v>54.200001</v>
      </c>
      <c r="E1240" s="130">
        <v>0.60000229999999999</v>
      </c>
      <c r="F1240" s="130">
        <v>6749.81</v>
      </c>
      <c r="G1240" s="130">
        <v>-2.0883599999999999E-2</v>
      </c>
      <c r="H1240" s="16">
        <v>2100000</v>
      </c>
      <c r="I1240">
        <v>1.7358E-3</v>
      </c>
    </row>
    <row r="1241" spans="1:9" x14ac:dyDescent="0.25">
      <c r="A1241" t="s">
        <v>397</v>
      </c>
      <c r="B1241" t="s">
        <v>100</v>
      </c>
      <c r="C1241">
        <v>1999</v>
      </c>
      <c r="D1241" s="130">
        <v>53.599997999999999</v>
      </c>
      <c r="E1241" s="130">
        <v>-0.60000229999999999</v>
      </c>
      <c r="F1241" s="130">
        <v>6518.37</v>
      </c>
      <c r="G1241" s="130">
        <v>-3.4891100000000001E-2</v>
      </c>
      <c r="H1241" s="16">
        <v>2200000</v>
      </c>
      <c r="I1241">
        <v>4.6916399999999997E-2</v>
      </c>
    </row>
    <row r="1242" spans="1:9" x14ac:dyDescent="0.25">
      <c r="A1242" t="s">
        <v>397</v>
      </c>
      <c r="B1242" t="s">
        <v>100</v>
      </c>
      <c r="C1242">
        <v>2000</v>
      </c>
      <c r="F1242" s="130">
        <v>6236.69</v>
      </c>
      <c r="G1242" s="130">
        <v>-4.4174199999999997E-2</v>
      </c>
      <c r="H1242" s="16">
        <v>2300000</v>
      </c>
      <c r="I1242">
        <v>4.2643399999999998E-2</v>
      </c>
    </row>
    <row r="1243" spans="1:9" x14ac:dyDescent="0.25">
      <c r="A1243" t="s">
        <v>397</v>
      </c>
      <c r="B1243" t="s">
        <v>100</v>
      </c>
      <c r="C1243">
        <v>2001</v>
      </c>
      <c r="D1243" s="130">
        <v>55.099997999999999</v>
      </c>
      <c r="F1243" s="130">
        <v>6059.67</v>
      </c>
      <c r="G1243" s="130">
        <v>-2.8794299999999998E-2</v>
      </c>
      <c r="H1243" s="16">
        <v>2400000</v>
      </c>
      <c r="I1243">
        <v>4.3485000000000003E-2</v>
      </c>
    </row>
    <row r="1244" spans="1:9" x14ac:dyDescent="0.25">
      <c r="A1244" t="s">
        <v>397</v>
      </c>
      <c r="B1244" t="s">
        <v>100</v>
      </c>
      <c r="C1244">
        <v>2002</v>
      </c>
      <c r="D1244" s="130">
        <v>57</v>
      </c>
      <c r="E1244" s="130">
        <v>1.900002</v>
      </c>
      <c r="F1244" s="130">
        <v>5937.94</v>
      </c>
      <c r="G1244" s="130">
        <v>-2.0293200000000001E-2</v>
      </c>
      <c r="H1244" s="16">
        <v>2400000</v>
      </c>
      <c r="I1244">
        <v>4.0468200000000003E-2</v>
      </c>
    </row>
    <row r="1245" spans="1:9" x14ac:dyDescent="0.25">
      <c r="A1245" t="s">
        <v>397</v>
      </c>
      <c r="B1245" t="s">
        <v>100</v>
      </c>
      <c r="C1245">
        <v>2003</v>
      </c>
      <c r="D1245" s="130">
        <v>55.900002000000001</v>
      </c>
      <c r="E1245" s="130">
        <v>-1.099998</v>
      </c>
      <c r="F1245" s="130">
        <v>6073.52</v>
      </c>
      <c r="G1245" s="130">
        <v>2.2576300000000001E-2</v>
      </c>
      <c r="H1245" s="16">
        <v>2500000</v>
      </c>
      <c r="I1245">
        <v>4.1115400000000003E-2</v>
      </c>
    </row>
    <row r="1246" spans="1:9" x14ac:dyDescent="0.25">
      <c r="A1246" t="s">
        <v>397</v>
      </c>
      <c r="B1246" t="s">
        <v>100</v>
      </c>
      <c r="C1246">
        <v>2004</v>
      </c>
      <c r="D1246" s="130">
        <v>57</v>
      </c>
      <c r="E1246" s="130">
        <v>1.099998</v>
      </c>
      <c r="F1246" s="130">
        <v>6198.88</v>
      </c>
      <c r="G1246" s="130">
        <v>2.04306E-2</v>
      </c>
      <c r="H1246" s="16">
        <v>2600000</v>
      </c>
      <c r="I1246">
        <v>4.1784799999999997E-2</v>
      </c>
    </row>
    <row r="1247" spans="1:9" x14ac:dyDescent="0.25">
      <c r="A1247" t="s">
        <v>397</v>
      </c>
      <c r="B1247" t="s">
        <v>100</v>
      </c>
      <c r="C1247">
        <v>2005</v>
      </c>
      <c r="D1247" s="130">
        <v>53.299999</v>
      </c>
      <c r="E1247" s="130">
        <v>-3.7000009999999999</v>
      </c>
      <c r="F1247" s="130">
        <v>6212.28</v>
      </c>
      <c r="G1247" s="130">
        <v>2.1591000000000002E-3</v>
      </c>
      <c r="H1247" s="16">
        <v>2700000</v>
      </c>
      <c r="I1247">
        <v>4.4558199999999999E-2</v>
      </c>
    </row>
    <row r="1248" spans="1:9" x14ac:dyDescent="0.25">
      <c r="A1248" t="s">
        <v>397</v>
      </c>
      <c r="B1248" t="s">
        <v>100</v>
      </c>
      <c r="C1248">
        <v>2006</v>
      </c>
      <c r="D1248" s="130">
        <v>53.700001</v>
      </c>
      <c r="E1248" s="130">
        <v>0.40000150000000001</v>
      </c>
      <c r="F1248" s="130">
        <v>6391.18</v>
      </c>
      <c r="G1248" s="130">
        <v>2.8389899999999999E-2</v>
      </c>
      <c r="H1248" s="16">
        <v>2700000</v>
      </c>
      <c r="I1248">
        <v>4.3155600000000002E-2</v>
      </c>
    </row>
    <row r="1249" spans="1:9" x14ac:dyDescent="0.25">
      <c r="A1249" t="s">
        <v>397</v>
      </c>
      <c r="B1249" t="s">
        <v>100</v>
      </c>
      <c r="C1249">
        <v>2007</v>
      </c>
      <c r="D1249" s="130">
        <v>51.900002000000001</v>
      </c>
      <c r="E1249" s="130">
        <v>-1.7999989999999999</v>
      </c>
      <c r="F1249" s="130">
        <v>6616.13</v>
      </c>
      <c r="G1249" s="130">
        <v>3.4592600000000001E-2</v>
      </c>
      <c r="H1249" s="16">
        <v>2800000</v>
      </c>
      <c r="I1249">
        <v>4.5931899999999998E-2</v>
      </c>
    </row>
    <row r="1250" spans="1:9" x14ac:dyDescent="0.25">
      <c r="A1250" t="s">
        <v>397</v>
      </c>
      <c r="B1250" t="s">
        <v>100</v>
      </c>
      <c r="C1250">
        <v>2008</v>
      </c>
      <c r="D1250" s="130">
        <v>49.5</v>
      </c>
      <c r="E1250" s="130">
        <v>-2.4000020000000002</v>
      </c>
      <c r="F1250" s="130">
        <v>6911.92</v>
      </c>
      <c r="G1250" s="130">
        <v>4.3736499999999998E-2</v>
      </c>
      <c r="H1250" s="16">
        <v>2900000</v>
      </c>
      <c r="I1250">
        <v>3.9701699999999999E-2</v>
      </c>
    </row>
    <row r="1251" spans="1:9" x14ac:dyDescent="0.25">
      <c r="A1251" t="s">
        <v>397</v>
      </c>
      <c r="B1251" t="s">
        <v>100</v>
      </c>
      <c r="C1251">
        <v>2009</v>
      </c>
      <c r="D1251" s="130">
        <v>51.700001</v>
      </c>
      <c r="E1251" s="130">
        <v>2.2000009999999999</v>
      </c>
      <c r="F1251" s="130">
        <v>6521.34</v>
      </c>
      <c r="G1251" s="130">
        <v>-5.8167499999999997E-2</v>
      </c>
      <c r="H1251" s="16">
        <v>3000000</v>
      </c>
      <c r="I1251">
        <v>6.5379099999999996E-2</v>
      </c>
    </row>
    <row r="1252" spans="1:9" x14ac:dyDescent="0.25">
      <c r="A1252" t="s">
        <v>397</v>
      </c>
      <c r="B1252" t="s">
        <v>100</v>
      </c>
      <c r="C1252">
        <v>2010</v>
      </c>
      <c r="D1252" s="130">
        <v>48.299999</v>
      </c>
      <c r="E1252" s="130">
        <v>-3.4000020000000002</v>
      </c>
      <c r="F1252" s="130">
        <v>7246.92</v>
      </c>
      <c r="G1252" s="130">
        <v>0.1054964</v>
      </c>
      <c r="H1252" s="16">
        <v>3000000</v>
      </c>
      <c r="I1252">
        <v>-7.1726999999999997E-3</v>
      </c>
    </row>
    <row r="1253" spans="1:9" x14ac:dyDescent="0.25">
      <c r="A1253" t="s">
        <v>397</v>
      </c>
      <c r="B1253" t="s">
        <v>100</v>
      </c>
      <c r="C1253">
        <v>2011</v>
      </c>
      <c r="D1253" s="130">
        <v>47.299999</v>
      </c>
      <c r="E1253" s="130">
        <v>-1</v>
      </c>
      <c r="F1253" s="130">
        <v>7431.06</v>
      </c>
      <c r="G1253" s="130">
        <v>2.5092099999999999E-2</v>
      </c>
      <c r="H1253" s="16">
        <v>3100000</v>
      </c>
      <c r="I1253">
        <v>4.1700800000000003E-2</v>
      </c>
    </row>
    <row r="1254" spans="1:9" x14ac:dyDescent="0.25">
      <c r="A1254" t="s">
        <v>397</v>
      </c>
      <c r="B1254" t="s">
        <v>100</v>
      </c>
      <c r="C1254">
        <v>2012</v>
      </c>
      <c r="D1254" s="130">
        <v>48.700001</v>
      </c>
      <c r="E1254" s="130">
        <v>1.400002</v>
      </c>
      <c r="F1254" s="130">
        <v>7215.48</v>
      </c>
      <c r="G1254" s="130">
        <v>-2.9439E-2</v>
      </c>
      <c r="H1254" s="16">
        <v>3200000</v>
      </c>
      <c r="I1254">
        <v>4.4239800000000003E-2</v>
      </c>
    </row>
    <row r="1255" spans="1:9" x14ac:dyDescent="0.25">
      <c r="A1255" t="s">
        <v>397</v>
      </c>
      <c r="B1255" t="s">
        <v>100</v>
      </c>
      <c r="C1255">
        <v>2013</v>
      </c>
    </row>
    <row r="1256" spans="1:9" x14ac:dyDescent="0.25">
      <c r="A1256" t="s">
        <v>405</v>
      </c>
      <c r="B1256" t="s">
        <v>263</v>
      </c>
      <c r="C1256">
        <v>1992</v>
      </c>
      <c r="D1256" s="130">
        <v>8</v>
      </c>
      <c r="F1256" s="130">
        <v>15610</v>
      </c>
      <c r="H1256" s="16">
        <v>75000000</v>
      </c>
    </row>
    <row r="1257" spans="1:9" x14ac:dyDescent="0.25">
      <c r="A1257" t="s">
        <v>405</v>
      </c>
      <c r="B1257" t="s">
        <v>263</v>
      </c>
      <c r="C1257">
        <v>1993</v>
      </c>
      <c r="D1257" s="130">
        <v>6.5</v>
      </c>
      <c r="E1257" s="130">
        <v>-1.5</v>
      </c>
      <c r="F1257" s="130">
        <v>14273.1</v>
      </c>
      <c r="G1257" s="130">
        <v>-8.9537599999999995E-2</v>
      </c>
      <c r="H1257" s="16">
        <v>73000000</v>
      </c>
      <c r="I1257">
        <v>-2.9273199999999999E-2</v>
      </c>
    </row>
    <row r="1258" spans="1:9" x14ac:dyDescent="0.25">
      <c r="A1258" t="s">
        <v>405</v>
      </c>
      <c r="B1258" t="s">
        <v>263</v>
      </c>
      <c r="C1258">
        <v>1994</v>
      </c>
      <c r="D1258" s="130">
        <v>6.8000002000000004</v>
      </c>
      <c r="E1258" s="130">
        <v>0.30000019999999999</v>
      </c>
      <c r="F1258" s="130">
        <v>12494.5</v>
      </c>
      <c r="G1258" s="130">
        <v>-0.13309000000000001</v>
      </c>
      <c r="H1258" s="16">
        <v>70000000</v>
      </c>
      <c r="I1258">
        <v>-3.1738799999999998E-2</v>
      </c>
    </row>
    <row r="1259" spans="1:9" x14ac:dyDescent="0.25">
      <c r="A1259" t="s">
        <v>405</v>
      </c>
      <c r="B1259" t="s">
        <v>263</v>
      </c>
      <c r="C1259">
        <v>1995</v>
      </c>
      <c r="D1259" s="130">
        <v>6.8000002000000004</v>
      </c>
      <c r="E1259" s="130">
        <v>0</v>
      </c>
      <c r="F1259" s="130">
        <v>11992.5</v>
      </c>
      <c r="G1259" s="130">
        <v>-4.1002299999999998E-2</v>
      </c>
      <c r="H1259" s="16">
        <v>70000000</v>
      </c>
      <c r="I1259">
        <v>1.3542999999999999E-3</v>
      </c>
    </row>
    <row r="1260" spans="1:9" x14ac:dyDescent="0.25">
      <c r="A1260" t="s">
        <v>405</v>
      </c>
      <c r="B1260" t="s">
        <v>263</v>
      </c>
      <c r="C1260">
        <v>1996</v>
      </c>
      <c r="D1260" s="130">
        <v>6.3000002000000004</v>
      </c>
      <c r="E1260" s="130">
        <v>-0.5</v>
      </c>
      <c r="F1260" s="130">
        <v>11592.2</v>
      </c>
      <c r="G1260" s="130">
        <v>-3.3946999999999998E-2</v>
      </c>
      <c r="H1260" s="16">
        <v>70000000</v>
      </c>
      <c r="I1260">
        <v>-1.32751E-2</v>
      </c>
    </row>
    <row r="1261" spans="1:9" x14ac:dyDescent="0.25">
      <c r="A1261" t="s">
        <v>405</v>
      </c>
      <c r="B1261" t="s">
        <v>263</v>
      </c>
      <c r="C1261">
        <v>1997</v>
      </c>
      <c r="D1261" s="130">
        <v>4.6999997999999996</v>
      </c>
      <c r="E1261" s="130">
        <v>-1.6</v>
      </c>
      <c r="F1261" s="130">
        <v>11789.2</v>
      </c>
      <c r="G1261" s="130">
        <v>1.6851399999999999E-2</v>
      </c>
      <c r="H1261" s="16">
        <v>68000000</v>
      </c>
      <c r="I1261">
        <v>-1.9255499999999998E-2</v>
      </c>
    </row>
    <row r="1262" spans="1:9" x14ac:dyDescent="0.25">
      <c r="A1262" t="s">
        <v>405</v>
      </c>
      <c r="B1262" t="s">
        <v>263</v>
      </c>
      <c r="C1262">
        <v>1998</v>
      </c>
      <c r="D1262" s="130">
        <v>4.5999999000000003</v>
      </c>
      <c r="E1262" s="130">
        <v>-9.9999900000000003E-2</v>
      </c>
      <c r="F1262" s="130">
        <v>11195.2</v>
      </c>
      <c r="G1262" s="130">
        <v>-5.1702499999999998E-2</v>
      </c>
      <c r="H1262" s="16">
        <v>67000000</v>
      </c>
      <c r="I1262">
        <v>-9.3706999999999992E-3</v>
      </c>
    </row>
    <row r="1263" spans="1:9" x14ac:dyDescent="0.25">
      <c r="A1263" t="s">
        <v>405</v>
      </c>
      <c r="B1263" t="s">
        <v>263</v>
      </c>
      <c r="C1263">
        <v>1999</v>
      </c>
      <c r="D1263" s="130">
        <v>10.9</v>
      </c>
      <c r="E1263" s="130">
        <v>6.3</v>
      </c>
      <c r="F1263" s="130">
        <v>11959.7</v>
      </c>
      <c r="G1263" s="130">
        <v>6.6060099999999997E-2</v>
      </c>
      <c r="H1263" s="16">
        <v>72000000</v>
      </c>
      <c r="I1263">
        <v>6.2455400000000001E-2</v>
      </c>
    </row>
    <row r="1264" spans="1:9" x14ac:dyDescent="0.25">
      <c r="A1264" t="s">
        <v>405</v>
      </c>
      <c r="B1264" t="s">
        <v>263</v>
      </c>
      <c r="C1264">
        <v>2000</v>
      </c>
      <c r="D1264" s="130">
        <v>10.1</v>
      </c>
      <c r="E1264" s="130">
        <v>-0.79999920000000002</v>
      </c>
      <c r="F1264" s="130">
        <v>13156.2</v>
      </c>
      <c r="G1264" s="130">
        <v>9.5351199999999997E-2</v>
      </c>
      <c r="H1264" s="16">
        <v>73000000</v>
      </c>
      <c r="I1264">
        <v>8.0871999999999993E-3</v>
      </c>
    </row>
    <row r="1265" spans="1:9" x14ac:dyDescent="0.25">
      <c r="A1265" t="s">
        <v>405</v>
      </c>
      <c r="B1265" t="s">
        <v>263</v>
      </c>
      <c r="C1265">
        <v>2001</v>
      </c>
      <c r="D1265" s="130">
        <v>8.1000004000000008</v>
      </c>
      <c r="E1265" s="130">
        <v>-2</v>
      </c>
      <c r="F1265" s="130">
        <v>13859.6</v>
      </c>
      <c r="G1265" s="130">
        <v>5.2081099999999998E-2</v>
      </c>
      <c r="H1265" s="16">
        <v>72000000</v>
      </c>
      <c r="I1265">
        <v>-1.50046E-2</v>
      </c>
    </row>
    <row r="1266" spans="1:9" x14ac:dyDescent="0.25">
      <c r="A1266" t="s">
        <v>405</v>
      </c>
      <c r="B1266" t="s">
        <v>263</v>
      </c>
      <c r="C1266">
        <v>2002</v>
      </c>
      <c r="D1266" s="130">
        <v>7.8000002000000004</v>
      </c>
      <c r="E1266" s="130">
        <v>-0.30000019999999999</v>
      </c>
      <c r="F1266" s="130">
        <v>14582</v>
      </c>
      <c r="G1266" s="130">
        <v>5.0809899999999998E-2</v>
      </c>
      <c r="H1266" s="16">
        <v>73000000</v>
      </c>
      <c r="I1266">
        <v>1.33787E-2</v>
      </c>
    </row>
    <row r="1267" spans="1:9" x14ac:dyDescent="0.25">
      <c r="A1267" t="s">
        <v>405</v>
      </c>
      <c r="B1267" t="s">
        <v>263</v>
      </c>
      <c r="C1267">
        <v>2003</v>
      </c>
      <c r="D1267" s="130">
        <v>7.4000000999999997</v>
      </c>
      <c r="E1267" s="130">
        <v>-0.40000010000000003</v>
      </c>
      <c r="F1267" s="130">
        <v>15721.7</v>
      </c>
      <c r="G1267" s="130">
        <v>7.52554E-2</v>
      </c>
      <c r="H1267" s="16">
        <v>74000000</v>
      </c>
      <c r="I1267">
        <v>1.9016000000000002E-2</v>
      </c>
    </row>
    <row r="1268" spans="1:9" x14ac:dyDescent="0.25">
      <c r="A1268" t="s">
        <v>405</v>
      </c>
      <c r="B1268" t="s">
        <v>263</v>
      </c>
      <c r="C1268">
        <v>2004</v>
      </c>
      <c r="D1268" s="130">
        <v>7.5999999000000003</v>
      </c>
      <c r="E1268" s="130">
        <v>0.19999980000000001</v>
      </c>
      <c r="F1268" s="130">
        <v>16937.599999999999</v>
      </c>
      <c r="G1268" s="130">
        <v>7.44953E-2</v>
      </c>
      <c r="H1268" s="16">
        <v>75000000</v>
      </c>
      <c r="I1268">
        <v>9.5329000000000004E-3</v>
      </c>
    </row>
    <row r="1269" spans="1:9" x14ac:dyDescent="0.25">
      <c r="A1269" t="s">
        <v>405</v>
      </c>
      <c r="B1269" t="s">
        <v>263</v>
      </c>
      <c r="C1269">
        <v>2005</v>
      </c>
      <c r="D1269" s="130">
        <v>7.8000002000000004</v>
      </c>
      <c r="E1269" s="130">
        <v>0.20000029999999999</v>
      </c>
      <c r="F1269" s="130">
        <v>18105.7</v>
      </c>
      <c r="G1269" s="130">
        <v>6.6689499999999999E-2</v>
      </c>
      <c r="H1269" s="16">
        <v>75000000</v>
      </c>
      <c r="I1269">
        <v>6.7131999999999999E-3</v>
      </c>
    </row>
    <row r="1270" spans="1:9" x14ac:dyDescent="0.25">
      <c r="A1270" t="s">
        <v>405</v>
      </c>
      <c r="B1270" t="s">
        <v>263</v>
      </c>
      <c r="C1270">
        <v>2006</v>
      </c>
      <c r="D1270" s="130">
        <v>7.5999999000000003</v>
      </c>
      <c r="E1270" s="130">
        <v>-0.20000029999999999</v>
      </c>
      <c r="F1270" s="130">
        <v>19671.3</v>
      </c>
      <c r="G1270" s="130">
        <v>8.2931500000000005E-2</v>
      </c>
      <c r="H1270" s="16">
        <v>75000000</v>
      </c>
      <c r="I1270">
        <v>2.1020000000000001E-3</v>
      </c>
    </row>
    <row r="1271" spans="1:9" x14ac:dyDescent="0.25">
      <c r="A1271" t="s">
        <v>405</v>
      </c>
      <c r="B1271" t="s">
        <v>263</v>
      </c>
      <c r="C1271">
        <v>2007</v>
      </c>
      <c r="D1271" s="130">
        <v>7.3000002000000004</v>
      </c>
      <c r="E1271" s="130">
        <v>-0.29999969999999998</v>
      </c>
      <c r="F1271" s="130">
        <v>21410.3</v>
      </c>
      <c r="G1271" s="130">
        <v>8.4714899999999996E-2</v>
      </c>
      <c r="H1271" s="16">
        <v>76000000</v>
      </c>
      <c r="I1271">
        <v>1.3541600000000001E-2</v>
      </c>
    </row>
    <row r="1272" spans="1:9" x14ac:dyDescent="0.25">
      <c r="A1272" t="s">
        <v>405</v>
      </c>
      <c r="B1272" t="s">
        <v>263</v>
      </c>
      <c r="C1272">
        <v>2008</v>
      </c>
      <c r="D1272" s="130">
        <v>7.3000002000000004</v>
      </c>
      <c r="E1272" s="130">
        <v>0</v>
      </c>
      <c r="F1272" s="130">
        <v>22557.7</v>
      </c>
      <c r="G1272" s="130">
        <v>5.2205099999999997E-2</v>
      </c>
      <c r="H1272" s="16">
        <v>77000000</v>
      </c>
      <c r="I1272">
        <v>4.1305999999999999E-3</v>
      </c>
    </row>
    <row r="1273" spans="1:9" x14ac:dyDescent="0.25">
      <c r="A1273" t="s">
        <v>405</v>
      </c>
      <c r="B1273" t="s">
        <v>263</v>
      </c>
      <c r="C1273">
        <v>2009</v>
      </c>
      <c r="F1273" s="130">
        <v>20799.400000000001</v>
      </c>
      <c r="G1273" s="130">
        <v>-8.1154799999999999E-2</v>
      </c>
      <c r="H1273" s="16">
        <v>76000000</v>
      </c>
      <c r="I1273">
        <v>-2.7499E-3</v>
      </c>
    </row>
    <row r="1274" spans="1:9" x14ac:dyDescent="0.25">
      <c r="A1274" t="s">
        <v>405</v>
      </c>
      <c r="B1274" t="s">
        <v>263</v>
      </c>
      <c r="C1274">
        <v>2010</v>
      </c>
      <c r="F1274" s="130">
        <v>21663</v>
      </c>
      <c r="G1274" s="130">
        <v>4.0682799999999998E-2</v>
      </c>
      <c r="H1274" s="16">
        <v>76000000</v>
      </c>
      <c r="I1274">
        <v>-1.601E-3</v>
      </c>
    </row>
    <row r="1275" spans="1:9" x14ac:dyDescent="0.25">
      <c r="A1275" t="s">
        <v>405</v>
      </c>
      <c r="B1275" t="s">
        <v>263</v>
      </c>
      <c r="C1275">
        <v>2011</v>
      </c>
      <c r="F1275" s="130">
        <v>22502.3</v>
      </c>
      <c r="G1275" s="130">
        <v>3.8012499999999998E-2</v>
      </c>
      <c r="H1275" s="16">
        <v>77000000</v>
      </c>
      <c r="I1275">
        <v>7.8125E-3</v>
      </c>
    </row>
    <row r="1276" spans="1:9" x14ac:dyDescent="0.25">
      <c r="A1276" t="s">
        <v>405</v>
      </c>
      <c r="B1276" t="s">
        <v>263</v>
      </c>
      <c r="C1276">
        <v>2012</v>
      </c>
      <c r="F1276" s="130">
        <v>23184</v>
      </c>
      <c r="G1276" s="130">
        <v>2.9842400000000002E-2</v>
      </c>
      <c r="H1276" s="16">
        <v>77000000</v>
      </c>
      <c r="I1276">
        <v>2.0909000000000001E-3</v>
      </c>
    </row>
    <row r="1277" spans="1:9" x14ac:dyDescent="0.25">
      <c r="A1277" t="s">
        <v>405</v>
      </c>
      <c r="B1277" t="s">
        <v>263</v>
      </c>
      <c r="C1277">
        <v>2013</v>
      </c>
    </row>
    <row r="1278" spans="1:9" x14ac:dyDescent="0.25">
      <c r="A1278" t="s">
        <v>416</v>
      </c>
      <c r="B1278" t="s">
        <v>160</v>
      </c>
      <c r="C1278">
        <v>1991</v>
      </c>
      <c r="D1278" s="130">
        <v>14.3</v>
      </c>
      <c r="F1278" s="130">
        <v>35043</v>
      </c>
      <c r="H1278" s="16">
        <v>1600000</v>
      </c>
    </row>
    <row r="1279" spans="1:9" x14ac:dyDescent="0.25">
      <c r="A1279" t="s">
        <v>416</v>
      </c>
      <c r="B1279" t="s">
        <v>160</v>
      </c>
      <c r="C1279">
        <v>1992</v>
      </c>
      <c r="D1279" s="130">
        <v>14.7</v>
      </c>
      <c r="E1279" s="130">
        <v>0.39999960000000001</v>
      </c>
      <c r="F1279" s="130">
        <v>36397</v>
      </c>
      <c r="G1279" s="130">
        <v>3.7911399999999998E-2</v>
      </c>
      <c r="H1279" s="16">
        <v>1700000</v>
      </c>
      <c r="I1279">
        <v>2.98421E-2</v>
      </c>
    </row>
    <row r="1280" spans="1:9" x14ac:dyDescent="0.25">
      <c r="A1280" t="s">
        <v>416</v>
      </c>
      <c r="B1280" t="s">
        <v>160</v>
      </c>
      <c r="C1280">
        <v>1993</v>
      </c>
      <c r="D1280" s="130">
        <v>14.6</v>
      </c>
      <c r="E1280" s="130">
        <v>-9.9999400000000002E-2</v>
      </c>
      <c r="F1280" s="130">
        <v>39561.300000000003</v>
      </c>
      <c r="G1280" s="130">
        <v>8.3364499999999994E-2</v>
      </c>
      <c r="H1280" s="16">
        <v>1700000</v>
      </c>
      <c r="I1280">
        <v>1.6377200000000001E-2</v>
      </c>
    </row>
    <row r="1281" spans="1:9" x14ac:dyDescent="0.25">
      <c r="A1281" t="s">
        <v>416</v>
      </c>
      <c r="B1281" t="s">
        <v>160</v>
      </c>
      <c r="C1281">
        <v>1994</v>
      </c>
      <c r="D1281" s="130">
        <v>14.7</v>
      </c>
      <c r="E1281" s="130">
        <v>9.9999400000000002E-2</v>
      </c>
      <c r="F1281" s="130">
        <v>42395.1</v>
      </c>
      <c r="G1281" s="130">
        <v>6.9181400000000004E-2</v>
      </c>
      <c r="H1281" s="16">
        <v>1700000</v>
      </c>
      <c r="I1281">
        <v>3.3314099999999999E-2</v>
      </c>
    </row>
    <row r="1282" spans="1:9" x14ac:dyDescent="0.25">
      <c r="A1282" t="s">
        <v>416</v>
      </c>
      <c r="B1282" t="s">
        <v>160</v>
      </c>
      <c r="C1282">
        <v>1995</v>
      </c>
      <c r="F1282" s="130">
        <v>44119.3</v>
      </c>
      <c r="G1282" s="130">
        <v>3.9866400000000003E-2</v>
      </c>
      <c r="H1282" s="16">
        <v>1800000</v>
      </c>
      <c r="I1282">
        <v>1.77188E-2</v>
      </c>
    </row>
    <row r="1283" spans="1:9" x14ac:dyDescent="0.25">
      <c r="A1283" t="s">
        <v>416</v>
      </c>
      <c r="B1283" t="s">
        <v>160</v>
      </c>
      <c r="C1283">
        <v>1996</v>
      </c>
      <c r="D1283" s="130">
        <v>15.5</v>
      </c>
      <c r="F1283" s="130">
        <v>45592.9</v>
      </c>
      <c r="G1283" s="130">
        <v>3.2854099999999997E-2</v>
      </c>
      <c r="H1283" s="16">
        <v>1900000</v>
      </c>
      <c r="I1283">
        <v>6.6516599999999995E-2</v>
      </c>
    </row>
    <row r="1284" spans="1:9" x14ac:dyDescent="0.25">
      <c r="A1284" t="s">
        <v>416</v>
      </c>
      <c r="B1284" t="s">
        <v>160</v>
      </c>
      <c r="C1284">
        <v>1997</v>
      </c>
      <c r="D1284" s="130">
        <v>13.9</v>
      </c>
      <c r="E1284" s="130">
        <v>-1.6</v>
      </c>
      <c r="F1284" s="130">
        <v>47838.7</v>
      </c>
      <c r="G1284" s="130">
        <v>4.8083300000000002E-2</v>
      </c>
      <c r="H1284" s="16">
        <v>1900000</v>
      </c>
      <c r="I1284">
        <v>2.6112E-2</v>
      </c>
    </row>
    <row r="1285" spans="1:9" x14ac:dyDescent="0.25">
      <c r="A1285" t="s">
        <v>416</v>
      </c>
      <c r="B1285" t="s">
        <v>160</v>
      </c>
      <c r="C1285">
        <v>1998</v>
      </c>
      <c r="D1285" s="130">
        <v>14.5</v>
      </c>
      <c r="E1285" s="130">
        <v>0.60000039999999999</v>
      </c>
      <c r="F1285" s="130">
        <v>45237</v>
      </c>
      <c r="G1285" s="130">
        <v>-5.5921600000000002E-2</v>
      </c>
      <c r="H1285" s="16">
        <v>2000000</v>
      </c>
      <c r="I1285">
        <v>3.6096999999999997E-2</v>
      </c>
    </row>
    <row r="1286" spans="1:9" x14ac:dyDescent="0.25">
      <c r="A1286" t="s">
        <v>416</v>
      </c>
      <c r="B1286" t="s">
        <v>160</v>
      </c>
      <c r="C1286">
        <v>1999</v>
      </c>
      <c r="D1286" s="130">
        <v>15.6</v>
      </c>
      <c r="E1286" s="130">
        <v>1.1000000000000001</v>
      </c>
      <c r="F1286" s="130">
        <v>47657.9</v>
      </c>
      <c r="G1286" s="130">
        <v>5.21345E-2</v>
      </c>
      <c r="H1286" s="16">
        <v>2000000</v>
      </c>
      <c r="I1286">
        <v>2.5363799999999999E-2</v>
      </c>
    </row>
    <row r="1287" spans="1:9" x14ac:dyDescent="0.25">
      <c r="A1287" t="s">
        <v>416</v>
      </c>
      <c r="B1287" t="s">
        <v>160</v>
      </c>
      <c r="C1287">
        <v>2000</v>
      </c>
      <c r="F1287" s="130">
        <v>51074.8</v>
      </c>
      <c r="G1287" s="130">
        <v>6.9242499999999998E-2</v>
      </c>
      <c r="H1287" s="16">
        <v>2100000</v>
      </c>
      <c r="I1287">
        <v>3.7015100000000002E-2</v>
      </c>
    </row>
    <row r="1288" spans="1:9" x14ac:dyDescent="0.25">
      <c r="A1288" t="s">
        <v>416</v>
      </c>
      <c r="B1288" t="s">
        <v>160</v>
      </c>
      <c r="C1288">
        <v>2001</v>
      </c>
      <c r="D1288" s="130">
        <v>15.4</v>
      </c>
      <c r="F1288" s="130">
        <v>49141.9</v>
      </c>
      <c r="G1288" s="130">
        <v>-3.8579000000000002E-2</v>
      </c>
      <c r="H1288" s="16">
        <v>2100000</v>
      </c>
      <c r="I1288">
        <v>2.9809800000000001E-2</v>
      </c>
    </row>
    <row r="1289" spans="1:9" x14ac:dyDescent="0.25">
      <c r="A1289" t="s">
        <v>416</v>
      </c>
      <c r="B1289" t="s">
        <v>160</v>
      </c>
      <c r="C1289">
        <v>2002</v>
      </c>
      <c r="D1289" s="130">
        <v>15.1</v>
      </c>
      <c r="E1289" s="130">
        <v>-0.29999920000000002</v>
      </c>
      <c r="F1289" s="130">
        <v>50740.9</v>
      </c>
      <c r="G1289" s="130">
        <v>3.2019600000000002E-2</v>
      </c>
      <c r="H1289" s="16">
        <v>2100000</v>
      </c>
      <c r="I1289">
        <v>1.4728E-3</v>
      </c>
    </row>
    <row r="1290" spans="1:9" x14ac:dyDescent="0.25">
      <c r="A1290" t="s">
        <v>416</v>
      </c>
      <c r="B1290" t="s">
        <v>160</v>
      </c>
      <c r="C1290">
        <v>2003</v>
      </c>
      <c r="D1290" s="130">
        <v>14.9</v>
      </c>
      <c r="E1290" s="130">
        <v>-0.20000080000000001</v>
      </c>
      <c r="F1290" s="130">
        <v>53854.2</v>
      </c>
      <c r="G1290" s="130">
        <v>5.9548400000000001E-2</v>
      </c>
      <c r="H1290" s="16">
        <v>2100000</v>
      </c>
      <c r="I1290">
        <v>-1.11165E-2</v>
      </c>
    </row>
    <row r="1291" spans="1:9" x14ac:dyDescent="0.25">
      <c r="A1291" t="s">
        <v>416</v>
      </c>
      <c r="B1291" t="s">
        <v>160</v>
      </c>
      <c r="C1291">
        <v>2004</v>
      </c>
      <c r="D1291" s="130">
        <v>15.6</v>
      </c>
      <c r="E1291" s="130">
        <v>0.70000079999999998</v>
      </c>
      <c r="F1291" s="130">
        <v>58054.5</v>
      </c>
      <c r="G1291" s="130">
        <v>7.5101899999999999E-2</v>
      </c>
      <c r="H1291" s="16">
        <v>2100000</v>
      </c>
      <c r="I1291">
        <v>2.4601499999999998E-2</v>
      </c>
    </row>
    <row r="1292" spans="1:9" x14ac:dyDescent="0.25">
      <c r="A1292" t="s">
        <v>416</v>
      </c>
      <c r="B1292" t="s">
        <v>160</v>
      </c>
      <c r="C1292">
        <v>2005</v>
      </c>
      <c r="F1292" s="130">
        <v>60885.3</v>
      </c>
      <c r="G1292" s="130">
        <v>4.76093E-2</v>
      </c>
      <c r="H1292" s="16">
        <v>2200000</v>
      </c>
      <c r="I1292">
        <v>6.0775500000000003E-2</v>
      </c>
    </row>
    <row r="1293" spans="1:9" x14ac:dyDescent="0.25">
      <c r="A1293" t="s">
        <v>416</v>
      </c>
      <c r="B1293" t="s">
        <v>160</v>
      </c>
      <c r="C1293">
        <v>2006</v>
      </c>
      <c r="D1293" s="130">
        <v>15.1</v>
      </c>
      <c r="F1293" s="130">
        <v>64097.8</v>
      </c>
      <c r="G1293" s="130">
        <v>5.1419300000000001E-2</v>
      </c>
      <c r="H1293" s="16">
        <v>2400000</v>
      </c>
      <c r="I1293">
        <v>7.58022E-2</v>
      </c>
    </row>
    <row r="1294" spans="1:9" x14ac:dyDescent="0.25">
      <c r="A1294" t="s">
        <v>416</v>
      </c>
      <c r="B1294" t="s">
        <v>160</v>
      </c>
      <c r="C1294">
        <v>2007</v>
      </c>
      <c r="D1294" s="130">
        <v>15.3</v>
      </c>
      <c r="E1294" s="130">
        <v>0.19999980000000001</v>
      </c>
      <c r="F1294" s="130">
        <v>67028.3</v>
      </c>
      <c r="G1294" s="130">
        <v>4.4704399999999998E-2</v>
      </c>
      <c r="H1294" s="16">
        <v>2500000</v>
      </c>
      <c r="I1294">
        <v>7.6111399999999996E-2</v>
      </c>
    </row>
    <row r="1295" spans="1:9" x14ac:dyDescent="0.25">
      <c r="A1295" t="s">
        <v>416</v>
      </c>
      <c r="B1295" t="s">
        <v>160</v>
      </c>
      <c r="C1295">
        <v>2008</v>
      </c>
      <c r="D1295" s="130">
        <v>15.1</v>
      </c>
      <c r="E1295" s="130">
        <v>-0.19999980000000001</v>
      </c>
      <c r="F1295" s="130">
        <v>64665.3</v>
      </c>
      <c r="G1295" s="130">
        <v>-3.5890600000000002E-2</v>
      </c>
      <c r="H1295" s="16">
        <v>2600000</v>
      </c>
      <c r="I1295">
        <v>0.10100530000000001</v>
      </c>
    </row>
    <row r="1296" spans="1:9" x14ac:dyDescent="0.25">
      <c r="A1296" t="s">
        <v>416</v>
      </c>
      <c r="B1296" t="s">
        <v>160</v>
      </c>
      <c r="C1296">
        <v>2009</v>
      </c>
      <c r="D1296" s="130">
        <v>14.8</v>
      </c>
      <c r="E1296" s="130">
        <v>-0.30000019999999999</v>
      </c>
      <c r="F1296" s="130">
        <v>62250.2</v>
      </c>
      <c r="G1296" s="130">
        <v>-3.8063E-2</v>
      </c>
      <c r="H1296" s="16">
        <v>2700000</v>
      </c>
      <c r="I1296">
        <v>5.7642699999999998E-2</v>
      </c>
    </row>
    <row r="1297" spans="1:9" x14ac:dyDescent="0.25">
      <c r="A1297" t="s">
        <v>416</v>
      </c>
      <c r="B1297" t="s">
        <v>160</v>
      </c>
      <c r="C1297">
        <v>2010</v>
      </c>
      <c r="D1297" s="130">
        <v>14.5</v>
      </c>
      <c r="E1297" s="130">
        <v>-0.30000019999999999</v>
      </c>
      <c r="F1297" s="130">
        <v>70197.2</v>
      </c>
      <c r="G1297" s="130">
        <v>0.1201477</v>
      </c>
      <c r="H1297" s="16">
        <v>2800000</v>
      </c>
      <c r="I1297">
        <v>5.1593100000000003E-2</v>
      </c>
    </row>
    <row r="1298" spans="1:9" x14ac:dyDescent="0.25">
      <c r="A1298" t="s">
        <v>416</v>
      </c>
      <c r="B1298" t="s">
        <v>160</v>
      </c>
      <c r="C1298">
        <v>2011</v>
      </c>
      <c r="D1298" s="130">
        <v>15</v>
      </c>
      <c r="E1298" s="130">
        <v>0.5</v>
      </c>
      <c r="F1298" s="130">
        <v>72295.899999999994</v>
      </c>
      <c r="G1298" s="130">
        <v>2.9458000000000002E-2</v>
      </c>
      <c r="H1298" s="16">
        <v>2900000</v>
      </c>
      <c r="I1298">
        <v>5.4223100000000003E-2</v>
      </c>
    </row>
    <row r="1299" spans="1:9" x14ac:dyDescent="0.25">
      <c r="A1299" t="s">
        <v>416</v>
      </c>
      <c r="B1299" t="s">
        <v>160</v>
      </c>
      <c r="C1299">
        <v>2012</v>
      </c>
      <c r="D1299" s="130">
        <v>15.3</v>
      </c>
      <c r="E1299" s="130">
        <v>0.30000019999999999</v>
      </c>
      <c r="F1299" s="130">
        <v>71474.899999999994</v>
      </c>
      <c r="G1299" s="130">
        <v>-1.1421199999999999E-2</v>
      </c>
      <c r="H1299" s="16">
        <v>3000000</v>
      </c>
      <c r="I1299">
        <v>7.1453000000000003E-2</v>
      </c>
    </row>
    <row r="1300" spans="1:9" x14ac:dyDescent="0.25">
      <c r="A1300" t="s">
        <v>416</v>
      </c>
      <c r="B1300" t="s">
        <v>160</v>
      </c>
      <c r="C1300">
        <v>2013</v>
      </c>
    </row>
    <row r="1301" spans="1:9" x14ac:dyDescent="0.25">
      <c r="A1301" t="s">
        <v>321</v>
      </c>
      <c r="B1301" t="s">
        <v>239</v>
      </c>
      <c r="C1301">
        <v>1993</v>
      </c>
      <c r="D1301" s="130">
        <v>41.799999</v>
      </c>
      <c r="F1301" s="130">
        <v>5086.21</v>
      </c>
      <c r="H1301" s="16">
        <v>2100000</v>
      </c>
    </row>
    <row r="1302" spans="1:9" x14ac:dyDescent="0.25">
      <c r="A1302" t="s">
        <v>321</v>
      </c>
      <c r="B1302" t="s">
        <v>239</v>
      </c>
      <c r="C1302">
        <v>1994</v>
      </c>
      <c r="D1302" s="130">
        <v>44.5</v>
      </c>
      <c r="E1302" s="130">
        <v>2.7000009999999999</v>
      </c>
      <c r="F1302" s="130">
        <v>5317.54</v>
      </c>
      <c r="G1302" s="130">
        <v>4.4478400000000001E-2</v>
      </c>
      <c r="H1302" s="16">
        <v>2100000</v>
      </c>
      <c r="I1302">
        <v>3.4119099999999999E-2</v>
      </c>
    </row>
    <row r="1303" spans="1:9" x14ac:dyDescent="0.25">
      <c r="A1303" t="s">
        <v>321</v>
      </c>
      <c r="B1303" t="s">
        <v>239</v>
      </c>
      <c r="C1303">
        <v>1995</v>
      </c>
      <c r="D1303" s="130">
        <v>43.099997999999999</v>
      </c>
      <c r="E1303" s="130">
        <v>-1.400002</v>
      </c>
      <c r="F1303" s="130">
        <v>5588.51</v>
      </c>
      <c r="G1303" s="130">
        <v>4.97026E-2</v>
      </c>
      <c r="H1303" s="16">
        <v>2100000</v>
      </c>
      <c r="I1303">
        <v>3.3367000000000002E-3</v>
      </c>
    </row>
    <row r="1304" spans="1:9" x14ac:dyDescent="0.25">
      <c r="A1304" t="s">
        <v>321</v>
      </c>
      <c r="B1304" t="s">
        <v>239</v>
      </c>
      <c r="C1304">
        <v>1996</v>
      </c>
      <c r="D1304" s="130">
        <v>43.099997999999999</v>
      </c>
      <c r="E1304" s="130">
        <v>0</v>
      </c>
      <c r="F1304" s="130">
        <v>5626.34</v>
      </c>
      <c r="G1304" s="130">
        <v>6.7453000000000001E-3</v>
      </c>
      <c r="H1304" s="16">
        <v>2100000</v>
      </c>
      <c r="I1304">
        <v>-1.03981E-2</v>
      </c>
    </row>
    <row r="1305" spans="1:9" x14ac:dyDescent="0.25">
      <c r="A1305" t="s">
        <v>321</v>
      </c>
      <c r="B1305" t="s">
        <v>239</v>
      </c>
      <c r="C1305">
        <v>1997</v>
      </c>
      <c r="D1305" s="130">
        <v>42.599997999999999</v>
      </c>
      <c r="E1305" s="130">
        <v>-0.5</v>
      </c>
      <c r="F1305" s="130">
        <v>5816.69</v>
      </c>
      <c r="G1305" s="130">
        <v>3.3272700000000002E-2</v>
      </c>
      <c r="H1305" s="16">
        <v>2100000</v>
      </c>
      <c r="I1305">
        <v>8.9350000000000002E-3</v>
      </c>
    </row>
    <row r="1306" spans="1:9" x14ac:dyDescent="0.25">
      <c r="A1306" t="s">
        <v>321</v>
      </c>
      <c r="B1306" t="s">
        <v>239</v>
      </c>
      <c r="C1306">
        <v>1998</v>
      </c>
      <c r="D1306" s="130">
        <v>41.099997999999999</v>
      </c>
      <c r="E1306" s="130">
        <v>-1.5</v>
      </c>
      <c r="F1306" s="130">
        <v>5994.01</v>
      </c>
      <c r="G1306" s="130">
        <v>3.0029299999999998E-2</v>
      </c>
      <c r="H1306" s="16">
        <v>2200000</v>
      </c>
      <c r="I1306">
        <v>4.22149E-2</v>
      </c>
    </row>
    <row r="1307" spans="1:9" x14ac:dyDescent="0.25">
      <c r="A1307" t="s">
        <v>321</v>
      </c>
      <c r="B1307" t="s">
        <v>239</v>
      </c>
      <c r="C1307">
        <v>1999</v>
      </c>
      <c r="D1307" s="130">
        <v>39.700001</v>
      </c>
      <c r="E1307" s="130">
        <v>-1.3999980000000001</v>
      </c>
      <c r="F1307" s="130">
        <v>6165.41</v>
      </c>
      <c r="G1307" s="130">
        <v>2.81935E-2</v>
      </c>
      <c r="H1307" s="16">
        <v>2200000</v>
      </c>
      <c r="I1307">
        <v>1.7930000000000001E-3</v>
      </c>
    </row>
    <row r="1308" spans="1:9" x14ac:dyDescent="0.25">
      <c r="A1308" t="s">
        <v>321</v>
      </c>
      <c r="B1308" t="s">
        <v>239</v>
      </c>
      <c r="C1308">
        <v>2000</v>
      </c>
      <c r="D1308" s="130">
        <v>43.099997999999999</v>
      </c>
      <c r="E1308" s="130">
        <v>3.3999980000000001</v>
      </c>
      <c r="F1308" s="130">
        <v>6266.43</v>
      </c>
      <c r="G1308" s="130">
        <v>1.6253500000000001E-2</v>
      </c>
      <c r="H1308" s="16">
        <v>2200000</v>
      </c>
      <c r="I1308">
        <v>4.1629999999999998E-4</v>
      </c>
    </row>
    <row r="1309" spans="1:9" x14ac:dyDescent="0.25">
      <c r="A1309" t="s">
        <v>321</v>
      </c>
      <c r="B1309" t="s">
        <v>239</v>
      </c>
      <c r="C1309">
        <v>2001</v>
      </c>
      <c r="D1309" s="130">
        <v>43</v>
      </c>
      <c r="E1309" s="130">
        <v>-9.9998500000000004E-2</v>
      </c>
      <c r="F1309" s="130">
        <v>6345.3</v>
      </c>
      <c r="G1309" s="130">
        <v>1.25065E-2</v>
      </c>
      <c r="H1309" s="16">
        <v>2200000</v>
      </c>
      <c r="I1309">
        <v>9.9740000000000007E-4</v>
      </c>
    </row>
    <row r="1310" spans="1:9" x14ac:dyDescent="0.25">
      <c r="A1310" t="s">
        <v>321</v>
      </c>
      <c r="B1310" t="s">
        <v>239</v>
      </c>
      <c r="C1310">
        <v>2002</v>
      </c>
      <c r="D1310" s="130">
        <v>43.900002000000001</v>
      </c>
      <c r="E1310" s="130">
        <v>0.90000150000000001</v>
      </c>
      <c r="F1310" s="130">
        <v>6468.96</v>
      </c>
      <c r="G1310" s="130">
        <v>1.93014E-2</v>
      </c>
      <c r="H1310" s="16">
        <v>2200000</v>
      </c>
      <c r="I1310">
        <v>1.4273000000000001E-3</v>
      </c>
    </row>
    <row r="1311" spans="1:9" x14ac:dyDescent="0.25">
      <c r="A1311" t="s">
        <v>321</v>
      </c>
      <c r="B1311" t="s">
        <v>239</v>
      </c>
      <c r="C1311">
        <v>2003</v>
      </c>
      <c r="D1311" s="130">
        <v>41.400002000000001</v>
      </c>
      <c r="E1311" s="130">
        <v>-2.5</v>
      </c>
      <c r="F1311" s="130">
        <v>6594.64</v>
      </c>
      <c r="G1311" s="130">
        <v>1.9241299999999999E-2</v>
      </c>
      <c r="H1311" s="16">
        <v>2300000</v>
      </c>
      <c r="I1311">
        <v>3.8985100000000002E-2</v>
      </c>
    </row>
    <row r="1312" spans="1:9" x14ac:dyDescent="0.25">
      <c r="A1312" t="s">
        <v>321</v>
      </c>
      <c r="B1312" t="s">
        <v>239</v>
      </c>
      <c r="C1312">
        <v>2004</v>
      </c>
      <c r="D1312" s="130">
        <v>40</v>
      </c>
      <c r="E1312" s="130">
        <v>-1.400002</v>
      </c>
      <c r="F1312" s="130">
        <v>6693.44</v>
      </c>
      <c r="G1312" s="130">
        <v>1.4870599999999999E-2</v>
      </c>
      <c r="H1312" s="16">
        <v>2300000</v>
      </c>
      <c r="I1312">
        <v>-1.1781099999999999E-2</v>
      </c>
    </row>
    <row r="1313" spans="1:9" x14ac:dyDescent="0.25">
      <c r="A1313" t="s">
        <v>321</v>
      </c>
      <c r="B1313" t="s">
        <v>239</v>
      </c>
      <c r="C1313">
        <v>2005</v>
      </c>
      <c r="D1313" s="130">
        <v>43.200001</v>
      </c>
      <c r="E1313" s="130">
        <v>3.2000009999999999</v>
      </c>
      <c r="F1313" s="130">
        <v>6906.52</v>
      </c>
      <c r="G1313" s="130">
        <v>3.1338699999999997E-2</v>
      </c>
      <c r="H1313" s="16">
        <v>2300000</v>
      </c>
      <c r="I1313">
        <v>2.4647499999999999E-2</v>
      </c>
    </row>
    <row r="1314" spans="1:9" x14ac:dyDescent="0.25">
      <c r="A1314" t="s">
        <v>321</v>
      </c>
      <c r="B1314" t="s">
        <v>239</v>
      </c>
      <c r="C1314">
        <v>2006</v>
      </c>
      <c r="D1314" s="130">
        <v>39.799999</v>
      </c>
      <c r="E1314" s="130">
        <v>-3.4000020000000002</v>
      </c>
      <c r="F1314" s="130">
        <v>7148.27</v>
      </c>
      <c r="G1314" s="130">
        <v>3.4404799999999999E-2</v>
      </c>
      <c r="H1314" s="16">
        <v>2400000</v>
      </c>
      <c r="I1314">
        <v>2.79434E-2</v>
      </c>
    </row>
    <row r="1315" spans="1:9" x14ac:dyDescent="0.25">
      <c r="A1315" t="s">
        <v>321</v>
      </c>
      <c r="B1315" t="s">
        <v>239</v>
      </c>
      <c r="C1315">
        <v>2007</v>
      </c>
      <c r="D1315" s="130">
        <v>39.599997999999999</v>
      </c>
      <c r="E1315" s="130">
        <v>-0.20000080000000001</v>
      </c>
      <c r="F1315" s="130">
        <v>7390.91</v>
      </c>
      <c r="G1315" s="130">
        <v>3.33805E-2</v>
      </c>
      <c r="H1315" s="16">
        <v>2400000</v>
      </c>
      <c r="I1315">
        <v>2.3524E-2</v>
      </c>
    </row>
    <row r="1316" spans="1:9" x14ac:dyDescent="0.25">
      <c r="A1316" t="s">
        <v>321</v>
      </c>
      <c r="B1316" t="s">
        <v>239</v>
      </c>
      <c r="C1316">
        <v>2008</v>
      </c>
      <c r="D1316" s="130">
        <v>40.5</v>
      </c>
      <c r="E1316" s="130">
        <v>0.90000150000000001</v>
      </c>
      <c r="F1316" s="130">
        <v>7450.02</v>
      </c>
      <c r="G1316" s="130">
        <v>7.9650999999999993E-3</v>
      </c>
      <c r="H1316" s="16">
        <v>2500000</v>
      </c>
      <c r="I1316">
        <v>2.8709999999999999E-2</v>
      </c>
    </row>
    <row r="1317" spans="1:9" x14ac:dyDescent="0.25">
      <c r="A1317" t="s">
        <v>321</v>
      </c>
      <c r="B1317" t="s">
        <v>239</v>
      </c>
      <c r="C1317">
        <v>2009</v>
      </c>
      <c r="D1317" s="130">
        <v>50.200001</v>
      </c>
      <c r="E1317" s="130">
        <v>9.7000010000000003</v>
      </c>
      <c r="F1317" s="130">
        <v>7179.6</v>
      </c>
      <c r="G1317" s="130">
        <v>-3.6971999999999998E-2</v>
      </c>
      <c r="H1317" s="16">
        <v>2600000</v>
      </c>
      <c r="I1317">
        <v>2.5912999999999999E-2</v>
      </c>
    </row>
    <row r="1318" spans="1:9" x14ac:dyDescent="0.25">
      <c r="A1318" t="s">
        <v>321</v>
      </c>
      <c r="B1318" t="s">
        <v>239</v>
      </c>
      <c r="C1318">
        <v>2010</v>
      </c>
      <c r="D1318" s="130">
        <v>41.799999</v>
      </c>
      <c r="E1318" s="130">
        <v>-8.4000020000000006</v>
      </c>
      <c r="F1318" s="130">
        <v>7236.96</v>
      </c>
      <c r="G1318" s="130">
        <v>7.9574999999999993E-3</v>
      </c>
      <c r="H1318" s="16">
        <v>2600000</v>
      </c>
      <c r="I1318">
        <v>2.8901099999999999E-2</v>
      </c>
    </row>
    <row r="1319" spans="1:9" x14ac:dyDescent="0.25">
      <c r="A1319" t="s">
        <v>321</v>
      </c>
      <c r="B1319" t="s">
        <v>239</v>
      </c>
      <c r="C1319">
        <v>2011</v>
      </c>
      <c r="D1319" s="130">
        <v>41.700001</v>
      </c>
      <c r="E1319" s="130">
        <v>-9.9998500000000004E-2</v>
      </c>
      <c r="F1319" s="130">
        <v>7352.41</v>
      </c>
      <c r="G1319" s="130">
        <v>1.5826199999999999E-2</v>
      </c>
      <c r="H1319" s="16">
        <v>2700000</v>
      </c>
      <c r="I1319">
        <v>2.1655400000000002E-2</v>
      </c>
    </row>
    <row r="1320" spans="1:9" x14ac:dyDescent="0.25">
      <c r="A1320" t="s">
        <v>321</v>
      </c>
      <c r="B1320" t="s">
        <v>239</v>
      </c>
      <c r="C1320">
        <v>2012</v>
      </c>
      <c r="D1320" s="130">
        <v>41.799999</v>
      </c>
      <c r="E1320" s="130">
        <v>9.9998500000000004E-2</v>
      </c>
      <c r="F1320" s="130">
        <v>7445.3</v>
      </c>
      <c r="G1320" s="130">
        <v>1.25542E-2</v>
      </c>
      <c r="H1320" s="16">
        <v>2700000</v>
      </c>
      <c r="I1320">
        <v>2.4376700000000001E-2</v>
      </c>
    </row>
    <row r="1321" spans="1:9" x14ac:dyDescent="0.25">
      <c r="A1321" t="s">
        <v>321</v>
      </c>
      <c r="B1321" t="s">
        <v>239</v>
      </c>
      <c r="C1321">
        <v>2013</v>
      </c>
    </row>
    <row r="1322" spans="1:9" x14ac:dyDescent="0.25">
      <c r="A1322" t="s">
        <v>418</v>
      </c>
      <c r="B1322" t="s">
        <v>417</v>
      </c>
      <c r="C1322">
        <v>1994</v>
      </c>
      <c r="D1322" s="130">
        <v>6.3000002000000004</v>
      </c>
      <c r="F1322" s="130">
        <v>12359.2</v>
      </c>
      <c r="H1322" s="16">
        <v>2500000</v>
      </c>
    </row>
    <row r="1323" spans="1:9" x14ac:dyDescent="0.25">
      <c r="A1323" t="s">
        <v>418</v>
      </c>
      <c r="B1323" t="s">
        <v>417</v>
      </c>
      <c r="C1323">
        <v>1995</v>
      </c>
      <c r="D1323" s="130">
        <v>6.5</v>
      </c>
      <c r="E1323" s="130">
        <v>0.19999980000000001</v>
      </c>
      <c r="F1323" s="130">
        <v>13043.2</v>
      </c>
      <c r="G1323" s="130">
        <v>5.3865400000000001E-2</v>
      </c>
      <c r="H1323" s="16">
        <v>2500000</v>
      </c>
      <c r="I1323">
        <v>1.06193E-2</v>
      </c>
    </row>
    <row r="1324" spans="1:9" x14ac:dyDescent="0.25">
      <c r="A1324" t="s">
        <v>418</v>
      </c>
      <c r="B1324" t="s">
        <v>417</v>
      </c>
      <c r="C1324">
        <v>1996</v>
      </c>
      <c r="D1324" s="130">
        <v>6.4000000999999997</v>
      </c>
      <c r="E1324" s="130">
        <v>-9.9999900000000003E-2</v>
      </c>
      <c r="F1324" s="130">
        <v>13919.1</v>
      </c>
      <c r="G1324" s="130">
        <v>6.4993899999999993E-2</v>
      </c>
      <c r="H1324" s="16">
        <v>2500000</v>
      </c>
      <c r="I1324">
        <v>1.50641E-2</v>
      </c>
    </row>
    <row r="1325" spans="1:9" x14ac:dyDescent="0.25">
      <c r="A1325" t="s">
        <v>418</v>
      </c>
      <c r="B1325" t="s">
        <v>417</v>
      </c>
      <c r="C1325">
        <v>1997</v>
      </c>
      <c r="D1325" s="130">
        <v>6.3000002000000004</v>
      </c>
      <c r="E1325" s="130">
        <v>-9.9999900000000003E-2</v>
      </c>
      <c r="F1325" s="130">
        <v>14510.5</v>
      </c>
      <c r="G1325" s="130">
        <v>4.16107E-2</v>
      </c>
      <c r="H1325" s="16">
        <v>2500000</v>
      </c>
      <c r="I1325">
        <v>-4.7370000000000002E-4</v>
      </c>
    </row>
    <row r="1326" spans="1:9" x14ac:dyDescent="0.25">
      <c r="A1326" t="s">
        <v>418</v>
      </c>
      <c r="B1326" t="s">
        <v>417</v>
      </c>
      <c r="C1326">
        <v>1998</v>
      </c>
      <c r="D1326" s="130">
        <v>6.6999997999999996</v>
      </c>
      <c r="E1326" s="130">
        <v>0.39999960000000001</v>
      </c>
      <c r="F1326" s="130">
        <v>15123</v>
      </c>
      <c r="G1326" s="130">
        <v>4.1344600000000002E-2</v>
      </c>
      <c r="H1326" s="16">
        <v>2500000</v>
      </c>
      <c r="I1326">
        <v>7.6046999999999998E-3</v>
      </c>
    </row>
    <row r="1327" spans="1:9" x14ac:dyDescent="0.25">
      <c r="A1327" t="s">
        <v>418</v>
      </c>
      <c r="B1327" t="s">
        <v>417</v>
      </c>
      <c r="C1327">
        <v>1999</v>
      </c>
      <c r="D1327" s="130">
        <v>7.5999999000000003</v>
      </c>
      <c r="E1327" s="130">
        <v>0.90000009999999997</v>
      </c>
      <c r="F1327" s="130">
        <v>15113.3</v>
      </c>
      <c r="G1327" s="130">
        <v>-6.4280000000000001E-4</v>
      </c>
      <c r="H1327" s="16">
        <v>2600000</v>
      </c>
      <c r="I1327">
        <v>1.43777E-2</v>
      </c>
    </row>
    <row r="1328" spans="1:9" x14ac:dyDescent="0.25">
      <c r="A1328" t="s">
        <v>418</v>
      </c>
      <c r="B1328" t="s">
        <v>417</v>
      </c>
      <c r="C1328">
        <v>2000</v>
      </c>
      <c r="D1328" s="130">
        <v>7.9000000999999997</v>
      </c>
      <c r="E1328" s="130">
        <v>0.30000019999999999</v>
      </c>
      <c r="F1328" s="130">
        <v>15340.8</v>
      </c>
      <c r="G1328" s="130">
        <v>1.49441E-2</v>
      </c>
      <c r="H1328" s="16">
        <v>2600000</v>
      </c>
      <c r="I1328">
        <v>1.03077E-2</v>
      </c>
    </row>
    <row r="1329" spans="1:9" x14ac:dyDescent="0.25">
      <c r="A1329" t="s">
        <v>418</v>
      </c>
      <c r="B1329" t="s">
        <v>417</v>
      </c>
      <c r="C1329">
        <v>2001</v>
      </c>
      <c r="D1329" s="130">
        <v>8.5</v>
      </c>
      <c r="E1329" s="130">
        <v>0.59999990000000003</v>
      </c>
      <c r="F1329" s="130">
        <v>15904.1</v>
      </c>
      <c r="G1329" s="130">
        <v>3.6057499999999999E-2</v>
      </c>
      <c r="H1329" s="16">
        <v>2600000</v>
      </c>
      <c r="I1329">
        <v>1.5200699999999999E-2</v>
      </c>
    </row>
    <row r="1330" spans="1:9" x14ac:dyDescent="0.25">
      <c r="A1330" t="s">
        <v>418</v>
      </c>
      <c r="B1330" t="s">
        <v>417</v>
      </c>
      <c r="C1330">
        <v>2002</v>
      </c>
      <c r="D1330" s="130">
        <v>8.3000001999999995</v>
      </c>
      <c r="E1330" s="130">
        <v>-0.19999980000000001</v>
      </c>
      <c r="F1330" s="130">
        <v>16639</v>
      </c>
      <c r="G1330" s="130">
        <v>4.5173600000000001E-2</v>
      </c>
      <c r="H1330" s="16">
        <v>2600000</v>
      </c>
      <c r="I1330">
        <v>7.3519999999999998E-4</v>
      </c>
    </row>
    <row r="1331" spans="1:9" x14ac:dyDescent="0.25">
      <c r="A1331" t="s">
        <v>418</v>
      </c>
      <c r="B1331" t="s">
        <v>417</v>
      </c>
      <c r="C1331">
        <v>2003</v>
      </c>
      <c r="D1331" s="130">
        <v>9.5</v>
      </c>
      <c r="E1331" s="130">
        <v>1.2</v>
      </c>
      <c r="F1331" s="130">
        <v>17445</v>
      </c>
      <c r="G1331" s="130">
        <v>4.7303199999999997E-2</v>
      </c>
      <c r="H1331" s="16">
        <v>2700000</v>
      </c>
      <c r="I1331">
        <v>1.2647500000000001E-2</v>
      </c>
    </row>
    <row r="1332" spans="1:9" x14ac:dyDescent="0.25">
      <c r="A1332" t="s">
        <v>418</v>
      </c>
      <c r="B1332" t="s">
        <v>417</v>
      </c>
      <c r="C1332">
        <v>2004</v>
      </c>
      <c r="D1332" s="130">
        <v>12.1</v>
      </c>
      <c r="E1332" s="130">
        <v>2.6</v>
      </c>
      <c r="F1332" s="130">
        <v>18331</v>
      </c>
      <c r="G1332" s="130">
        <v>4.9544299999999999E-2</v>
      </c>
      <c r="H1332" s="16">
        <v>2700000</v>
      </c>
      <c r="I1332">
        <v>3.6683000000000002E-3</v>
      </c>
    </row>
    <row r="1333" spans="1:9" x14ac:dyDescent="0.25">
      <c r="A1333" t="s">
        <v>418</v>
      </c>
      <c r="B1333" t="s">
        <v>417</v>
      </c>
      <c r="C1333">
        <v>2005</v>
      </c>
      <c r="D1333" s="130">
        <v>12.5</v>
      </c>
      <c r="E1333" s="130">
        <v>0.39999960000000001</v>
      </c>
      <c r="F1333" s="130">
        <v>19549.099999999999</v>
      </c>
      <c r="G1333" s="130">
        <v>6.4333000000000001E-2</v>
      </c>
      <c r="H1333" s="16">
        <v>2700000</v>
      </c>
      <c r="I1333">
        <v>-5.8403999999999999E-3</v>
      </c>
    </row>
    <row r="1334" spans="1:9" x14ac:dyDescent="0.25">
      <c r="A1334" t="s">
        <v>418</v>
      </c>
      <c r="B1334" t="s">
        <v>417</v>
      </c>
      <c r="C1334">
        <v>2006</v>
      </c>
      <c r="D1334" s="130">
        <v>12.5</v>
      </c>
      <c r="E1334" s="130">
        <v>0</v>
      </c>
      <c r="F1334" s="130">
        <v>21179.599999999999</v>
      </c>
      <c r="G1334" s="130">
        <v>8.0108600000000002E-2</v>
      </c>
      <c r="H1334" s="16">
        <v>2700000</v>
      </c>
      <c r="I1334">
        <v>-3.1128000000000002E-3</v>
      </c>
    </row>
    <row r="1335" spans="1:9" x14ac:dyDescent="0.25">
      <c r="A1335" t="s">
        <v>418</v>
      </c>
      <c r="B1335" t="s">
        <v>417</v>
      </c>
      <c r="C1335">
        <v>2007</v>
      </c>
      <c r="D1335" s="130">
        <v>12.9</v>
      </c>
      <c r="E1335" s="130">
        <v>0.39999960000000001</v>
      </c>
      <c r="F1335" s="130">
        <v>23395.3</v>
      </c>
      <c r="G1335" s="130">
        <v>9.9498699999999995E-2</v>
      </c>
      <c r="H1335" s="16">
        <v>2700000</v>
      </c>
      <c r="I1335">
        <v>-1.2799999999999999E-5</v>
      </c>
    </row>
    <row r="1336" spans="1:9" x14ac:dyDescent="0.25">
      <c r="A1336" t="s">
        <v>418</v>
      </c>
      <c r="B1336" t="s">
        <v>417</v>
      </c>
      <c r="C1336">
        <v>2008</v>
      </c>
      <c r="D1336" s="130">
        <v>13.8</v>
      </c>
      <c r="E1336" s="130">
        <v>0.90000060000000004</v>
      </c>
      <c r="F1336" s="130">
        <v>24719.5</v>
      </c>
      <c r="G1336" s="130">
        <v>5.5054699999999998E-2</v>
      </c>
      <c r="H1336" s="16">
        <v>2700000</v>
      </c>
      <c r="I1336">
        <v>1.6341700000000001E-2</v>
      </c>
    </row>
    <row r="1337" spans="1:9" x14ac:dyDescent="0.25">
      <c r="A1337" t="s">
        <v>418</v>
      </c>
      <c r="B1337" t="s">
        <v>417</v>
      </c>
      <c r="C1337">
        <v>2009</v>
      </c>
      <c r="D1337" s="130">
        <v>15.7</v>
      </c>
      <c r="E1337" s="130">
        <v>1.9</v>
      </c>
      <c r="F1337" s="130">
        <v>23469.1</v>
      </c>
      <c r="G1337" s="130">
        <v>-5.1906599999999997E-2</v>
      </c>
      <c r="H1337" s="16">
        <v>2700000</v>
      </c>
      <c r="I1337">
        <v>-2.5887000000000002E-3</v>
      </c>
    </row>
    <row r="1338" spans="1:9" x14ac:dyDescent="0.25">
      <c r="A1338" t="s">
        <v>418</v>
      </c>
      <c r="B1338" t="s">
        <v>417</v>
      </c>
      <c r="C1338">
        <v>2010</v>
      </c>
      <c r="D1338" s="130">
        <v>16</v>
      </c>
      <c r="E1338" s="130">
        <v>0.30000019999999999</v>
      </c>
      <c r="F1338" s="130">
        <v>24428</v>
      </c>
      <c r="G1338" s="130">
        <v>4.0046699999999998E-2</v>
      </c>
      <c r="H1338" s="16">
        <v>2700000</v>
      </c>
      <c r="I1338">
        <v>5.2199000000000004E-3</v>
      </c>
    </row>
    <row r="1339" spans="1:9" x14ac:dyDescent="0.25">
      <c r="A1339" t="s">
        <v>418</v>
      </c>
      <c r="B1339" t="s">
        <v>417</v>
      </c>
      <c r="C1339">
        <v>2011</v>
      </c>
      <c r="D1339" s="130">
        <v>15.8</v>
      </c>
      <c r="E1339" s="130">
        <v>-0.19999980000000001</v>
      </c>
      <c r="F1339" s="130">
        <v>25128.400000000001</v>
      </c>
      <c r="G1339" s="130">
        <v>2.82688E-2</v>
      </c>
      <c r="H1339" s="16">
        <v>2700000</v>
      </c>
      <c r="I1339">
        <v>2.7057000000000001E-3</v>
      </c>
    </row>
    <row r="1340" spans="1:9" x14ac:dyDescent="0.25">
      <c r="A1340" t="s">
        <v>418</v>
      </c>
      <c r="B1340" t="s">
        <v>417</v>
      </c>
      <c r="C1340">
        <v>2012</v>
      </c>
      <c r="D1340" s="130">
        <v>15.4</v>
      </c>
      <c r="E1340" s="130">
        <v>-0.40000059999999998</v>
      </c>
      <c r="F1340" s="130">
        <v>25537.200000000001</v>
      </c>
      <c r="G1340" s="130">
        <v>1.6138099999999999E-2</v>
      </c>
      <c r="H1340" s="16">
        <v>2700000</v>
      </c>
      <c r="I1340">
        <v>1.1558799999999999E-2</v>
      </c>
    </row>
    <row r="1341" spans="1:9" x14ac:dyDescent="0.25">
      <c r="A1341" t="s">
        <v>418</v>
      </c>
      <c r="B1341" t="s">
        <v>417</v>
      </c>
      <c r="C1341">
        <v>2013</v>
      </c>
    </row>
    <row r="1342" spans="1:9" x14ac:dyDescent="0.25">
      <c r="A1342" t="s">
        <v>419</v>
      </c>
      <c r="B1342" t="s">
        <v>145</v>
      </c>
      <c r="C1342">
        <v>1993</v>
      </c>
      <c r="D1342" s="130">
        <v>15.4</v>
      </c>
      <c r="F1342" s="130">
        <v>16351.8</v>
      </c>
      <c r="H1342">
        <v>853182</v>
      </c>
    </row>
    <row r="1343" spans="1:9" x14ac:dyDescent="0.25">
      <c r="A1343" t="s">
        <v>419</v>
      </c>
      <c r="B1343" t="s">
        <v>145</v>
      </c>
      <c r="C1343">
        <v>1994</v>
      </c>
      <c r="D1343" s="130">
        <v>17.600000000000001</v>
      </c>
      <c r="E1343" s="130">
        <v>2.2000009999999999</v>
      </c>
      <c r="F1343" s="130">
        <v>17242.8</v>
      </c>
      <c r="G1343" s="130">
        <v>5.3061499999999998E-2</v>
      </c>
      <c r="H1343">
        <v>945333</v>
      </c>
      <c r="I1343">
        <v>0.1080086</v>
      </c>
    </row>
    <row r="1344" spans="1:9" x14ac:dyDescent="0.25">
      <c r="A1344" t="s">
        <v>419</v>
      </c>
      <c r="B1344" t="s">
        <v>145</v>
      </c>
      <c r="C1344">
        <v>1995</v>
      </c>
      <c r="D1344" s="130">
        <v>16.899999999999999</v>
      </c>
      <c r="E1344" s="130">
        <v>-0.70000079999999998</v>
      </c>
      <c r="F1344" s="130">
        <v>17867.099999999999</v>
      </c>
      <c r="G1344" s="130">
        <v>3.5562499999999997E-2</v>
      </c>
      <c r="H1344">
        <v>959980</v>
      </c>
      <c r="I1344">
        <v>1.7168200000000002E-2</v>
      </c>
    </row>
    <row r="1345" spans="1:9" x14ac:dyDescent="0.25">
      <c r="A1345" t="s">
        <v>419</v>
      </c>
      <c r="B1345" t="s">
        <v>145</v>
      </c>
      <c r="C1345">
        <v>1996</v>
      </c>
      <c r="D1345" s="130">
        <v>16.899999999999999</v>
      </c>
      <c r="E1345" s="130">
        <v>0</v>
      </c>
      <c r="F1345" s="130">
        <v>18530.400000000001</v>
      </c>
      <c r="G1345" s="130">
        <v>3.64523E-2</v>
      </c>
      <c r="H1345">
        <v>942522</v>
      </c>
      <c r="I1345">
        <v>-2.0462399999999999E-2</v>
      </c>
    </row>
    <row r="1346" spans="1:9" x14ac:dyDescent="0.25">
      <c r="A1346" t="s">
        <v>419</v>
      </c>
      <c r="B1346" t="s">
        <v>145</v>
      </c>
      <c r="C1346">
        <v>1997</v>
      </c>
      <c r="D1346" s="130">
        <v>18.700001</v>
      </c>
      <c r="E1346" s="130">
        <v>1.800001</v>
      </c>
      <c r="F1346" s="130">
        <v>19475.2</v>
      </c>
      <c r="G1346" s="130">
        <v>4.9728399999999999E-2</v>
      </c>
      <c r="H1346">
        <v>960003</v>
      </c>
      <c r="I1346">
        <v>2.0489500000000001E-2</v>
      </c>
    </row>
    <row r="1347" spans="1:9" x14ac:dyDescent="0.25">
      <c r="A1347" t="s">
        <v>419</v>
      </c>
      <c r="B1347" t="s">
        <v>145</v>
      </c>
      <c r="C1347">
        <v>1998</v>
      </c>
      <c r="D1347" s="130">
        <v>19.200001</v>
      </c>
      <c r="E1347" s="130">
        <v>0.5</v>
      </c>
      <c r="F1347" s="130">
        <v>20203.7</v>
      </c>
      <c r="G1347" s="130">
        <v>3.6727000000000003E-2</v>
      </c>
      <c r="H1347">
        <v>979778</v>
      </c>
      <c r="I1347">
        <v>2.3177099999999999E-2</v>
      </c>
    </row>
    <row r="1348" spans="1:9" x14ac:dyDescent="0.25">
      <c r="A1348" t="s">
        <v>419</v>
      </c>
      <c r="B1348" t="s">
        <v>145</v>
      </c>
      <c r="C1348">
        <v>1999</v>
      </c>
      <c r="D1348" s="130">
        <v>18.5</v>
      </c>
      <c r="E1348" s="130">
        <v>-0.70000079999999998</v>
      </c>
      <c r="F1348" s="130">
        <v>21264.5</v>
      </c>
      <c r="G1348" s="130">
        <v>5.1172299999999997E-2</v>
      </c>
      <c r="H1348">
        <v>965827</v>
      </c>
      <c r="I1348">
        <v>-1.6350900000000002E-2</v>
      </c>
    </row>
    <row r="1349" spans="1:9" x14ac:dyDescent="0.25">
      <c r="A1349" t="s">
        <v>419</v>
      </c>
      <c r="B1349" t="s">
        <v>145</v>
      </c>
      <c r="C1349">
        <v>2000</v>
      </c>
      <c r="D1349" s="130">
        <v>16.100000000000001</v>
      </c>
      <c r="E1349" s="130">
        <v>-2.4</v>
      </c>
      <c r="F1349" s="130">
        <v>22106</v>
      </c>
      <c r="G1349" s="130">
        <v>3.8809799999999998E-2</v>
      </c>
      <c r="H1349">
        <v>960314</v>
      </c>
      <c r="I1349">
        <v>-6.4625999999999998E-3</v>
      </c>
    </row>
    <row r="1350" spans="1:9" x14ac:dyDescent="0.25">
      <c r="A1350" t="s">
        <v>419</v>
      </c>
      <c r="B1350" t="s">
        <v>145</v>
      </c>
      <c r="C1350">
        <v>2001</v>
      </c>
      <c r="D1350" s="130">
        <v>17.100000000000001</v>
      </c>
      <c r="E1350" s="130">
        <v>1</v>
      </c>
      <c r="F1350" s="130">
        <v>22720</v>
      </c>
      <c r="G1350" s="130">
        <v>2.73972E-2</v>
      </c>
      <c r="H1350">
        <v>969987</v>
      </c>
      <c r="I1350">
        <v>1.1338000000000001E-2</v>
      </c>
    </row>
    <row r="1351" spans="1:9" x14ac:dyDescent="0.25">
      <c r="A1351" t="s">
        <v>419</v>
      </c>
      <c r="B1351" t="s">
        <v>145</v>
      </c>
      <c r="C1351">
        <v>2002</v>
      </c>
      <c r="D1351" s="130">
        <v>16.299999</v>
      </c>
      <c r="E1351" s="130">
        <v>-0.80000110000000002</v>
      </c>
      <c r="F1351" s="130">
        <v>23560.3</v>
      </c>
      <c r="G1351" s="130">
        <v>3.6315899999999998E-2</v>
      </c>
      <c r="H1351">
        <v>974055</v>
      </c>
      <c r="I1351">
        <v>4.7678E-3</v>
      </c>
    </row>
    <row r="1352" spans="1:9" x14ac:dyDescent="0.25">
      <c r="A1352" t="s">
        <v>419</v>
      </c>
      <c r="B1352" t="s">
        <v>145</v>
      </c>
      <c r="C1352">
        <v>2003</v>
      </c>
      <c r="D1352" s="130">
        <v>14</v>
      </c>
      <c r="E1352" s="130">
        <v>-2.2999990000000001</v>
      </c>
      <c r="F1352" s="130">
        <v>24236</v>
      </c>
      <c r="G1352" s="130">
        <v>2.82764E-2</v>
      </c>
      <c r="H1352">
        <v>963442</v>
      </c>
      <c r="I1352">
        <v>-1.24384E-2</v>
      </c>
    </row>
    <row r="1353" spans="1:9" x14ac:dyDescent="0.25">
      <c r="A1353" t="s">
        <v>419</v>
      </c>
      <c r="B1353" t="s">
        <v>145</v>
      </c>
      <c r="C1353">
        <v>2004</v>
      </c>
      <c r="D1353" s="130">
        <v>15.6</v>
      </c>
      <c r="E1353" s="130">
        <v>1.6</v>
      </c>
      <c r="F1353" s="130">
        <v>25286.6</v>
      </c>
      <c r="G1353" s="130">
        <v>4.2435599999999997E-2</v>
      </c>
      <c r="H1353" s="16">
        <v>1000000</v>
      </c>
      <c r="I1353">
        <v>5.4778E-2</v>
      </c>
    </row>
    <row r="1354" spans="1:9" x14ac:dyDescent="0.25">
      <c r="A1354" t="s">
        <v>419</v>
      </c>
      <c r="B1354" t="s">
        <v>145</v>
      </c>
      <c r="C1354">
        <v>2005</v>
      </c>
      <c r="D1354" s="130">
        <v>15.1</v>
      </c>
      <c r="E1354" s="130">
        <v>-0.5</v>
      </c>
      <c r="F1354" s="130">
        <v>26254.400000000001</v>
      </c>
      <c r="G1354" s="130">
        <v>3.7558599999999998E-2</v>
      </c>
      <c r="H1354" s="16">
        <v>1000000</v>
      </c>
      <c r="I1354">
        <v>7.1999000000000004E-3</v>
      </c>
    </row>
    <row r="1355" spans="1:9" x14ac:dyDescent="0.25">
      <c r="A1355" t="s">
        <v>419</v>
      </c>
      <c r="B1355" t="s">
        <v>145</v>
      </c>
      <c r="C1355">
        <v>2006</v>
      </c>
      <c r="D1355" s="130">
        <v>16.200001</v>
      </c>
      <c r="E1355" s="130">
        <v>1.1000000000000001</v>
      </c>
      <c r="F1355" s="130">
        <v>27701.599999999999</v>
      </c>
      <c r="G1355" s="130">
        <v>5.3658499999999998E-2</v>
      </c>
      <c r="H1355" s="16">
        <v>1000000</v>
      </c>
      <c r="I1355">
        <v>7.8762999999999993E-3</v>
      </c>
    </row>
    <row r="1356" spans="1:9" x14ac:dyDescent="0.25">
      <c r="A1356" t="s">
        <v>419</v>
      </c>
      <c r="B1356" t="s">
        <v>145</v>
      </c>
      <c r="C1356">
        <v>2007</v>
      </c>
      <c r="D1356" s="130">
        <v>15.9</v>
      </c>
      <c r="E1356" s="130">
        <v>-0.30000110000000002</v>
      </c>
      <c r="F1356" s="130">
        <v>29439.7</v>
      </c>
      <c r="G1356" s="130">
        <v>6.0852099999999999E-2</v>
      </c>
      <c r="H1356" s="16">
        <v>1000000</v>
      </c>
      <c r="I1356">
        <v>1.7951399999999999E-2</v>
      </c>
    </row>
    <row r="1357" spans="1:9" x14ac:dyDescent="0.25">
      <c r="A1357" t="s">
        <v>419</v>
      </c>
      <c r="B1357" t="s">
        <v>145</v>
      </c>
      <c r="C1357">
        <v>2008</v>
      </c>
      <c r="D1357" s="130">
        <v>14.1</v>
      </c>
      <c r="E1357" s="130">
        <v>-1.7999989999999999</v>
      </c>
      <c r="F1357" s="130">
        <v>30448.2</v>
      </c>
      <c r="G1357" s="130">
        <v>3.3682799999999999E-2</v>
      </c>
      <c r="H1357" s="16">
        <v>1000000</v>
      </c>
      <c r="I1357">
        <v>-3.9604000000000002E-3</v>
      </c>
    </row>
    <row r="1358" spans="1:9" x14ac:dyDescent="0.25">
      <c r="A1358" t="s">
        <v>419</v>
      </c>
      <c r="B1358" t="s">
        <v>145</v>
      </c>
      <c r="C1358">
        <v>2009</v>
      </c>
      <c r="D1358" s="130">
        <v>16.200001</v>
      </c>
      <c r="E1358" s="130">
        <v>2.1</v>
      </c>
      <c r="F1358" s="130">
        <v>27757.9</v>
      </c>
      <c r="G1358" s="130">
        <v>-9.2506400000000003E-2</v>
      </c>
      <c r="H1358" s="16">
        <v>1000000</v>
      </c>
      <c r="I1358">
        <v>1.06909E-2</v>
      </c>
    </row>
    <row r="1359" spans="1:9" x14ac:dyDescent="0.25">
      <c r="A1359" t="s">
        <v>419</v>
      </c>
      <c r="B1359" t="s">
        <v>145</v>
      </c>
      <c r="C1359">
        <v>2010</v>
      </c>
      <c r="D1359" s="130">
        <v>17.299999</v>
      </c>
      <c r="E1359" s="130">
        <v>1.099998</v>
      </c>
      <c r="F1359" s="130">
        <v>28018.400000000001</v>
      </c>
      <c r="G1359" s="130">
        <v>9.3402999999999993E-3</v>
      </c>
      <c r="H1359" s="16">
        <v>1000000</v>
      </c>
      <c r="I1359">
        <v>5.5999999999999995E-4</v>
      </c>
    </row>
    <row r="1360" spans="1:9" x14ac:dyDescent="0.25">
      <c r="A1360" t="s">
        <v>419</v>
      </c>
      <c r="B1360" t="s">
        <v>145</v>
      </c>
      <c r="C1360">
        <v>2011</v>
      </c>
      <c r="D1360" s="130">
        <v>16.799999</v>
      </c>
      <c r="E1360" s="130">
        <v>-0.5</v>
      </c>
      <c r="F1360" s="130">
        <v>28155.9</v>
      </c>
      <c r="G1360" s="130">
        <v>4.8989999999999997E-3</v>
      </c>
      <c r="H1360" s="16">
        <v>1000000</v>
      </c>
      <c r="I1360">
        <v>-2.3163199999999998E-2</v>
      </c>
    </row>
    <row r="1361" spans="1:9" x14ac:dyDescent="0.25">
      <c r="A1361" t="s">
        <v>419</v>
      </c>
      <c r="B1361" t="s">
        <v>145</v>
      </c>
      <c r="C1361">
        <v>2012</v>
      </c>
      <c r="D1361" s="130">
        <v>16.200001</v>
      </c>
      <c r="E1361" s="130">
        <v>-0.59999849999999999</v>
      </c>
      <c r="F1361" s="130">
        <v>27394.400000000001</v>
      </c>
      <c r="G1361" s="130">
        <v>-2.7418100000000001E-2</v>
      </c>
      <c r="H1361" s="16">
        <v>1000000</v>
      </c>
      <c r="I1361">
        <v>-4.7882999999999997E-3</v>
      </c>
    </row>
    <row r="1362" spans="1:9" x14ac:dyDescent="0.25">
      <c r="A1362" t="s">
        <v>419</v>
      </c>
      <c r="B1362" t="s">
        <v>145</v>
      </c>
      <c r="C1362">
        <v>2013</v>
      </c>
    </row>
    <row r="1363" spans="1:9" x14ac:dyDescent="0.25">
      <c r="A1363" t="s">
        <v>427</v>
      </c>
      <c r="B1363" t="s">
        <v>169</v>
      </c>
      <c r="C1363">
        <v>1990</v>
      </c>
      <c r="D1363" s="130">
        <v>9.1999998000000005</v>
      </c>
      <c r="F1363" s="130">
        <v>29427.5</v>
      </c>
      <c r="H1363" s="16">
        <v>4700000</v>
      </c>
    </row>
    <row r="1364" spans="1:9" x14ac:dyDescent="0.25">
      <c r="A1364" t="s">
        <v>427</v>
      </c>
      <c r="B1364" t="s">
        <v>169</v>
      </c>
      <c r="C1364">
        <v>1991</v>
      </c>
      <c r="D1364" s="130">
        <v>9.1000004000000008</v>
      </c>
      <c r="E1364" s="130">
        <v>-9.9999400000000002E-2</v>
      </c>
      <c r="F1364" s="130">
        <v>28892.6</v>
      </c>
      <c r="G1364" s="130">
        <v>-1.8342000000000001E-2</v>
      </c>
      <c r="H1364" s="16">
        <v>4700000</v>
      </c>
      <c r="I1364">
        <v>-1.0934E-3</v>
      </c>
    </row>
    <row r="1365" spans="1:9" x14ac:dyDescent="0.25">
      <c r="A1365" t="s">
        <v>427</v>
      </c>
      <c r="B1365" t="s">
        <v>169</v>
      </c>
      <c r="C1365">
        <v>1992</v>
      </c>
      <c r="D1365" s="130">
        <v>9.8000001999999995</v>
      </c>
      <c r="E1365" s="130">
        <v>0.69999979999999995</v>
      </c>
      <c r="F1365" s="130">
        <v>28390.9</v>
      </c>
      <c r="G1365" s="130">
        <v>-1.7519E-2</v>
      </c>
      <c r="H1365" s="16">
        <v>4600000</v>
      </c>
      <c r="I1365">
        <v>-1.7913700000000001E-2</v>
      </c>
    </row>
    <row r="1366" spans="1:9" x14ac:dyDescent="0.25">
      <c r="A1366" t="s">
        <v>427</v>
      </c>
      <c r="B1366" t="s">
        <v>169</v>
      </c>
      <c r="C1366">
        <v>1993</v>
      </c>
      <c r="D1366" s="130">
        <v>10.8</v>
      </c>
      <c r="E1366" s="130">
        <v>1</v>
      </c>
      <c r="F1366" s="130">
        <v>27643.4</v>
      </c>
      <c r="G1366" s="130">
        <v>-2.66809E-2</v>
      </c>
      <c r="H1366" s="16">
        <v>4500000</v>
      </c>
      <c r="I1366">
        <v>-1.9821100000000001E-2</v>
      </c>
    </row>
    <row r="1367" spans="1:9" x14ac:dyDescent="0.25">
      <c r="A1367" t="s">
        <v>427</v>
      </c>
      <c r="B1367" t="s">
        <v>169</v>
      </c>
      <c r="C1367">
        <v>1994</v>
      </c>
      <c r="D1367" s="130">
        <v>11.1</v>
      </c>
      <c r="E1367" s="130">
        <v>0.30000019999999999</v>
      </c>
      <c r="F1367" s="130">
        <v>28549</v>
      </c>
      <c r="G1367" s="130">
        <v>3.2235100000000003E-2</v>
      </c>
      <c r="H1367" s="16">
        <v>4500000</v>
      </c>
      <c r="I1367">
        <v>-6.1250000000000002E-3</v>
      </c>
    </row>
    <row r="1368" spans="1:9" x14ac:dyDescent="0.25">
      <c r="A1368" t="s">
        <v>427</v>
      </c>
      <c r="B1368" t="s">
        <v>169</v>
      </c>
      <c r="C1368">
        <v>1995</v>
      </c>
      <c r="D1368" s="130">
        <v>12.3</v>
      </c>
      <c r="E1368" s="130">
        <v>1.2</v>
      </c>
      <c r="F1368" s="130">
        <v>29518.1</v>
      </c>
      <c r="G1368" s="130">
        <v>3.33824E-2</v>
      </c>
      <c r="H1368" s="16">
        <v>4500000</v>
      </c>
      <c r="I1368">
        <v>8.1744999999999995E-3</v>
      </c>
    </row>
    <row r="1369" spans="1:9" x14ac:dyDescent="0.25">
      <c r="A1369" t="s">
        <v>427</v>
      </c>
      <c r="B1369" t="s">
        <v>169</v>
      </c>
      <c r="C1369">
        <v>1996</v>
      </c>
      <c r="D1369" s="130">
        <v>12.2</v>
      </c>
      <c r="E1369" s="130">
        <v>-0.1000004</v>
      </c>
      <c r="F1369" s="130">
        <v>29946.3</v>
      </c>
      <c r="G1369" s="130">
        <v>1.4402399999999999E-2</v>
      </c>
      <c r="H1369" s="16">
        <v>4500000</v>
      </c>
      <c r="I1369">
        <v>2.65E-3</v>
      </c>
    </row>
    <row r="1370" spans="1:9" x14ac:dyDescent="0.25">
      <c r="A1370" t="s">
        <v>427</v>
      </c>
      <c r="B1370" t="s">
        <v>169</v>
      </c>
      <c r="C1370">
        <v>1997</v>
      </c>
      <c r="D1370" s="130">
        <v>11.8</v>
      </c>
      <c r="E1370" s="130">
        <v>-0.39999960000000001</v>
      </c>
      <c r="F1370" s="130">
        <v>30739.8</v>
      </c>
      <c r="G1370" s="130">
        <v>2.6150699999999999E-2</v>
      </c>
      <c r="H1370" s="16">
        <v>4500000</v>
      </c>
      <c r="I1370">
        <v>-1.27332E-2</v>
      </c>
    </row>
    <row r="1371" spans="1:9" x14ac:dyDescent="0.25">
      <c r="A1371" t="s">
        <v>427</v>
      </c>
      <c r="B1371" t="s">
        <v>169</v>
      </c>
      <c r="C1371">
        <v>1998</v>
      </c>
      <c r="D1371" s="130">
        <v>11.4</v>
      </c>
      <c r="E1371" s="130">
        <v>-0.40000059999999998</v>
      </c>
      <c r="F1371" s="130">
        <v>32014.6</v>
      </c>
      <c r="G1371" s="130">
        <v>4.06351E-2</v>
      </c>
      <c r="H1371" s="16">
        <v>4400000</v>
      </c>
      <c r="I1371">
        <v>-5.9080000000000001E-3</v>
      </c>
    </row>
    <row r="1372" spans="1:9" x14ac:dyDescent="0.25">
      <c r="A1372" t="s">
        <v>427</v>
      </c>
      <c r="B1372" t="s">
        <v>169</v>
      </c>
      <c r="C1372">
        <v>1999</v>
      </c>
      <c r="D1372" s="130">
        <v>11.5</v>
      </c>
      <c r="E1372" s="130">
        <v>0.1000004</v>
      </c>
      <c r="F1372" s="130">
        <v>33480.300000000003</v>
      </c>
      <c r="G1372" s="130">
        <v>4.47655E-2</v>
      </c>
      <c r="H1372" s="16">
        <v>4500000</v>
      </c>
      <c r="I1372">
        <v>7.0391999999999998E-3</v>
      </c>
    </row>
    <row r="1373" spans="1:9" x14ac:dyDescent="0.25">
      <c r="A1373" t="s">
        <v>427</v>
      </c>
      <c r="B1373" t="s">
        <v>169</v>
      </c>
      <c r="C1373">
        <v>2000</v>
      </c>
      <c r="D1373" s="130">
        <v>11.1</v>
      </c>
      <c r="E1373" s="130">
        <v>-0.39999960000000001</v>
      </c>
      <c r="F1373" s="130">
        <v>34914.800000000003</v>
      </c>
      <c r="G1373" s="130">
        <v>4.1953999999999998E-2</v>
      </c>
      <c r="H1373" s="16">
        <v>4600000</v>
      </c>
      <c r="I1373">
        <v>1.7361399999999999E-2</v>
      </c>
    </row>
    <row r="1374" spans="1:9" x14ac:dyDescent="0.25">
      <c r="A1374" t="s">
        <v>427</v>
      </c>
      <c r="B1374" t="s">
        <v>169</v>
      </c>
      <c r="C1374">
        <v>2001</v>
      </c>
      <c r="D1374" s="130">
        <v>10.7</v>
      </c>
      <c r="E1374" s="130">
        <v>-0.40000059999999998</v>
      </c>
      <c r="F1374" s="130">
        <v>35260.800000000003</v>
      </c>
      <c r="G1374" s="130">
        <v>9.8591000000000008E-3</v>
      </c>
      <c r="H1374" s="16">
        <v>4600000</v>
      </c>
      <c r="I1374">
        <v>6.2716999999999998E-3</v>
      </c>
    </row>
    <row r="1375" spans="1:9" x14ac:dyDescent="0.25">
      <c r="A1375" t="s">
        <v>427</v>
      </c>
      <c r="B1375" t="s">
        <v>169</v>
      </c>
      <c r="C1375">
        <v>2002</v>
      </c>
      <c r="D1375" s="130">
        <v>10.7</v>
      </c>
      <c r="E1375" s="130">
        <v>0</v>
      </c>
      <c r="F1375" s="130">
        <v>36019</v>
      </c>
      <c r="G1375" s="130">
        <v>2.12765E-2</v>
      </c>
      <c r="H1375" s="16">
        <v>4600000</v>
      </c>
      <c r="I1375">
        <v>5.4796999999999997E-3</v>
      </c>
    </row>
    <row r="1376" spans="1:9" x14ac:dyDescent="0.25">
      <c r="A1376" t="s">
        <v>427</v>
      </c>
      <c r="B1376" t="s">
        <v>169</v>
      </c>
      <c r="C1376">
        <v>2003</v>
      </c>
      <c r="D1376" s="130">
        <v>10.4</v>
      </c>
      <c r="E1376" s="130">
        <v>-0.30000019999999999</v>
      </c>
      <c r="F1376" s="130">
        <v>36723.4</v>
      </c>
      <c r="G1376" s="130">
        <v>1.9367200000000001E-2</v>
      </c>
      <c r="H1376" s="16">
        <v>4600000</v>
      </c>
      <c r="I1376">
        <v>4.5577999999999999E-3</v>
      </c>
    </row>
    <row r="1377" spans="1:9" x14ac:dyDescent="0.25">
      <c r="A1377" t="s">
        <v>427</v>
      </c>
      <c r="B1377" t="s">
        <v>169</v>
      </c>
      <c r="C1377">
        <v>2004</v>
      </c>
      <c r="D1377" s="130">
        <v>10.5</v>
      </c>
      <c r="E1377" s="130">
        <v>0.1000004</v>
      </c>
      <c r="F1377" s="130">
        <v>38128.300000000003</v>
      </c>
      <c r="G1377" s="130">
        <v>3.7543300000000002E-2</v>
      </c>
      <c r="H1377" s="16">
        <v>4600000</v>
      </c>
      <c r="I1377">
        <v>1.7914999999999999E-3</v>
      </c>
    </row>
    <row r="1378" spans="1:9" x14ac:dyDescent="0.25">
      <c r="A1378" t="s">
        <v>427</v>
      </c>
      <c r="B1378" t="s">
        <v>169</v>
      </c>
      <c r="C1378">
        <v>2005</v>
      </c>
      <c r="D1378" s="130">
        <v>10.6</v>
      </c>
      <c r="E1378" s="130">
        <v>0.1000004</v>
      </c>
      <c r="F1378" s="130">
        <v>39176.5</v>
      </c>
      <c r="G1378" s="130">
        <v>2.7119600000000001E-2</v>
      </c>
      <c r="H1378" s="16">
        <v>4800000</v>
      </c>
      <c r="I1378">
        <v>2.42531E-2</v>
      </c>
    </row>
    <row r="1379" spans="1:9" x14ac:dyDescent="0.25">
      <c r="A1379" t="s">
        <v>427</v>
      </c>
      <c r="B1379" t="s">
        <v>169</v>
      </c>
      <c r="C1379">
        <v>2006</v>
      </c>
      <c r="D1379" s="130">
        <v>10.7</v>
      </c>
      <c r="E1379" s="130">
        <v>9.9999400000000002E-2</v>
      </c>
      <c r="F1379" s="130">
        <v>40630.800000000003</v>
      </c>
      <c r="G1379" s="130">
        <v>3.64494E-2</v>
      </c>
      <c r="H1379" s="16">
        <v>4800000</v>
      </c>
      <c r="I1379">
        <v>1.1942400000000001E-2</v>
      </c>
    </row>
    <row r="1380" spans="1:9" x14ac:dyDescent="0.25">
      <c r="A1380" t="s">
        <v>427</v>
      </c>
      <c r="B1380" t="s">
        <v>169</v>
      </c>
      <c r="C1380">
        <v>2007</v>
      </c>
      <c r="D1380" s="130">
        <v>10.6</v>
      </c>
      <c r="E1380" s="130">
        <v>-9.9999400000000002E-2</v>
      </c>
      <c r="F1380" s="130">
        <v>41667.300000000003</v>
      </c>
      <c r="G1380" s="130">
        <v>2.5189400000000001E-2</v>
      </c>
      <c r="H1380" s="16">
        <v>4900000</v>
      </c>
      <c r="I1380">
        <v>1.23296E-2</v>
      </c>
    </row>
    <row r="1381" spans="1:9" x14ac:dyDescent="0.25">
      <c r="A1381" t="s">
        <v>427</v>
      </c>
      <c r="B1381" t="s">
        <v>169</v>
      </c>
      <c r="C1381">
        <v>2008</v>
      </c>
      <c r="D1381" s="130">
        <v>10.4</v>
      </c>
      <c r="E1381" s="130">
        <v>-0.20000080000000001</v>
      </c>
      <c r="F1381" s="130">
        <v>41090.300000000003</v>
      </c>
      <c r="G1381" s="130">
        <v>-1.39437E-2</v>
      </c>
      <c r="H1381" s="16">
        <v>4900000</v>
      </c>
      <c r="I1381">
        <v>1.08422E-2</v>
      </c>
    </row>
    <row r="1382" spans="1:9" x14ac:dyDescent="0.25">
      <c r="A1382" t="s">
        <v>427</v>
      </c>
      <c r="B1382" t="s">
        <v>169</v>
      </c>
      <c r="C1382">
        <v>2009</v>
      </c>
      <c r="D1382" s="130">
        <v>10.7</v>
      </c>
      <c r="E1382" s="130">
        <v>0.30000019999999999</v>
      </c>
      <c r="F1382" s="130">
        <v>38693.4</v>
      </c>
      <c r="G1382" s="130">
        <v>-6.0104400000000002E-2</v>
      </c>
      <c r="H1382" s="16">
        <v>4900000</v>
      </c>
      <c r="I1382">
        <v>2.5500000000000002E-3</v>
      </c>
    </row>
    <row r="1383" spans="1:9" x14ac:dyDescent="0.25">
      <c r="A1383" t="s">
        <v>427</v>
      </c>
      <c r="B1383" t="s">
        <v>169</v>
      </c>
      <c r="C1383">
        <v>2010</v>
      </c>
      <c r="D1383" s="130">
        <v>10.9</v>
      </c>
      <c r="E1383" s="130">
        <v>0.19999980000000001</v>
      </c>
      <c r="F1383" s="130">
        <v>40880.400000000001</v>
      </c>
      <c r="G1383" s="130">
        <v>5.49831E-2</v>
      </c>
      <c r="H1383" s="16">
        <v>5000000</v>
      </c>
      <c r="I1383">
        <v>9.6503000000000005E-3</v>
      </c>
    </row>
    <row r="1384" spans="1:9" x14ac:dyDescent="0.25">
      <c r="A1384" t="s">
        <v>427</v>
      </c>
      <c r="B1384" t="s">
        <v>169</v>
      </c>
      <c r="C1384">
        <v>2011</v>
      </c>
      <c r="D1384" s="130">
        <v>10.4</v>
      </c>
      <c r="E1384" s="130">
        <v>-0.5</v>
      </c>
      <c r="F1384" s="130">
        <v>41762.699999999997</v>
      </c>
      <c r="G1384" s="130">
        <v>2.1352800000000002E-2</v>
      </c>
      <c r="H1384" s="16">
        <v>5000000</v>
      </c>
      <c r="I1384">
        <v>1.40749E-2</v>
      </c>
    </row>
    <row r="1385" spans="1:9" x14ac:dyDescent="0.25">
      <c r="A1385" t="s">
        <v>427</v>
      </c>
      <c r="B1385" t="s">
        <v>169</v>
      </c>
      <c r="C1385">
        <v>2012</v>
      </c>
      <c r="D1385" s="130">
        <v>10.4</v>
      </c>
      <c r="E1385" s="130">
        <v>0</v>
      </c>
      <c r="F1385" s="130">
        <v>41839.699999999997</v>
      </c>
      <c r="G1385" s="130">
        <v>1.8415E-3</v>
      </c>
      <c r="H1385" s="16">
        <v>5100000</v>
      </c>
      <c r="I1385">
        <v>9.4774999999999998E-3</v>
      </c>
    </row>
    <row r="1386" spans="1:9" x14ac:dyDescent="0.25">
      <c r="A1386" t="s">
        <v>427</v>
      </c>
      <c r="B1386" t="s">
        <v>169</v>
      </c>
      <c r="C1386">
        <v>2013</v>
      </c>
    </row>
    <row r="1387" spans="1:9" x14ac:dyDescent="0.25">
      <c r="A1387" t="s">
        <v>432</v>
      </c>
      <c r="B1387" t="s">
        <v>117</v>
      </c>
      <c r="C1387">
        <v>1990</v>
      </c>
      <c r="D1387" s="130">
        <v>71.599997999999999</v>
      </c>
      <c r="F1387" s="130">
        <v>6368.78</v>
      </c>
      <c r="H1387" s="16">
        <v>32000000</v>
      </c>
    </row>
    <row r="1388" spans="1:9" x14ac:dyDescent="0.25">
      <c r="A1388" t="s">
        <v>432</v>
      </c>
      <c r="B1388" t="s">
        <v>117</v>
      </c>
      <c r="C1388">
        <v>1991</v>
      </c>
      <c r="D1388" s="130">
        <v>69.300003000000004</v>
      </c>
      <c r="E1388" s="130">
        <v>-2.299995</v>
      </c>
      <c r="F1388" s="130">
        <v>6841.1</v>
      </c>
      <c r="G1388" s="130">
        <v>7.1540800000000002E-2</v>
      </c>
      <c r="H1388" s="16">
        <v>32000000</v>
      </c>
      <c r="I1388">
        <v>-2.2312E-3</v>
      </c>
    </row>
    <row r="1389" spans="1:9" x14ac:dyDescent="0.25">
      <c r="A1389" t="s">
        <v>432</v>
      </c>
      <c r="B1389" t="s">
        <v>117</v>
      </c>
      <c r="C1389">
        <v>1992</v>
      </c>
      <c r="D1389" s="130">
        <v>68.800003000000004</v>
      </c>
      <c r="E1389" s="130">
        <v>-0.5</v>
      </c>
      <c r="F1389" s="130">
        <v>7332.97</v>
      </c>
      <c r="G1389" s="130">
        <v>6.9431300000000001E-2</v>
      </c>
      <c r="H1389" s="16">
        <v>32000000</v>
      </c>
      <c r="I1389">
        <v>-7.62E-3</v>
      </c>
    </row>
    <row r="1390" spans="1:9" x14ac:dyDescent="0.25">
      <c r="A1390" t="s">
        <v>432</v>
      </c>
      <c r="B1390" t="s">
        <v>117</v>
      </c>
      <c r="C1390">
        <v>1993</v>
      </c>
      <c r="D1390" s="130">
        <v>65.699996999999996</v>
      </c>
      <c r="E1390" s="130">
        <v>-3.100006</v>
      </c>
      <c r="F1390" s="130">
        <v>7882.16</v>
      </c>
      <c r="G1390" s="130">
        <v>7.2221800000000003E-2</v>
      </c>
      <c r="H1390" s="16">
        <v>31000000</v>
      </c>
      <c r="I1390">
        <v>-1.13682E-2</v>
      </c>
    </row>
    <row r="1391" spans="1:9" x14ac:dyDescent="0.25">
      <c r="A1391" t="s">
        <v>432</v>
      </c>
      <c r="B1391" t="s">
        <v>117</v>
      </c>
      <c r="C1391">
        <v>1994</v>
      </c>
      <c r="D1391" s="130">
        <v>65.199996999999996</v>
      </c>
      <c r="E1391" s="130">
        <v>-0.5</v>
      </c>
      <c r="F1391" s="130">
        <v>8528.64</v>
      </c>
      <c r="G1391" s="130">
        <v>7.8826900000000005E-2</v>
      </c>
      <c r="H1391" s="16">
        <v>31000000</v>
      </c>
      <c r="I1391">
        <v>-1.2988899999999999E-2</v>
      </c>
    </row>
    <row r="1392" spans="1:9" x14ac:dyDescent="0.25">
      <c r="A1392" t="s">
        <v>432</v>
      </c>
      <c r="B1392" t="s">
        <v>117</v>
      </c>
      <c r="C1392">
        <v>1995</v>
      </c>
      <c r="D1392" s="130">
        <v>64.300003000000004</v>
      </c>
      <c r="E1392" s="130">
        <v>-0.89999390000000001</v>
      </c>
      <c r="F1392" s="130">
        <v>9238.6299999999992</v>
      </c>
      <c r="G1392" s="130">
        <v>7.9963699999999999E-2</v>
      </c>
      <c r="H1392" s="16">
        <v>32000000</v>
      </c>
      <c r="I1392">
        <v>2.0010099999999999E-2</v>
      </c>
    </row>
    <row r="1393" spans="1:9" x14ac:dyDescent="0.25">
      <c r="A1393" t="s">
        <v>432</v>
      </c>
      <c r="B1393" t="s">
        <v>117</v>
      </c>
      <c r="C1393">
        <v>1996</v>
      </c>
      <c r="D1393" s="130">
        <v>62.299999</v>
      </c>
      <c r="E1393" s="130">
        <v>-2.0000040000000001</v>
      </c>
      <c r="F1393" s="130">
        <v>9688.86</v>
      </c>
      <c r="G1393" s="130">
        <v>4.7583599999999997E-2</v>
      </c>
      <c r="H1393" s="16">
        <v>32000000</v>
      </c>
      <c r="I1393">
        <v>2.2522899999999998E-2</v>
      </c>
    </row>
    <row r="1394" spans="1:9" x14ac:dyDescent="0.25">
      <c r="A1394" t="s">
        <v>432</v>
      </c>
      <c r="B1394" t="s">
        <v>117</v>
      </c>
      <c r="C1394">
        <v>1997</v>
      </c>
      <c r="D1394" s="130">
        <v>62.299999</v>
      </c>
      <c r="E1394" s="130">
        <v>0</v>
      </c>
      <c r="F1394" s="130">
        <v>9453.64</v>
      </c>
      <c r="G1394" s="130">
        <v>-2.4576199999999999E-2</v>
      </c>
      <c r="H1394" s="16">
        <v>33000000</v>
      </c>
      <c r="I1394">
        <v>2.31408E-2</v>
      </c>
    </row>
    <row r="1395" spans="1:9" x14ac:dyDescent="0.25">
      <c r="A1395" t="s">
        <v>432</v>
      </c>
      <c r="B1395" t="s">
        <v>117</v>
      </c>
      <c r="C1395">
        <v>1998</v>
      </c>
      <c r="D1395" s="130">
        <v>63.5</v>
      </c>
      <c r="E1395" s="130">
        <v>1.2000010000000001</v>
      </c>
      <c r="F1395" s="130">
        <v>8363.3700000000008</v>
      </c>
      <c r="G1395" s="130">
        <v>-0.1225386</v>
      </c>
      <c r="H1395" s="16">
        <v>33000000</v>
      </c>
      <c r="I1395">
        <v>5.9347000000000002E-3</v>
      </c>
    </row>
    <row r="1396" spans="1:9" x14ac:dyDescent="0.25">
      <c r="A1396" t="s">
        <v>432</v>
      </c>
      <c r="B1396" t="s">
        <v>117</v>
      </c>
      <c r="C1396">
        <v>1999</v>
      </c>
      <c r="D1396" s="130">
        <v>61.700001</v>
      </c>
      <c r="E1396" s="130">
        <v>-1.7999989999999999</v>
      </c>
      <c r="F1396" s="130">
        <v>8633.27</v>
      </c>
      <c r="G1396" s="130">
        <v>3.1761200000000003E-2</v>
      </c>
      <c r="H1396" s="16">
        <v>34000000</v>
      </c>
      <c r="I1396">
        <v>3.6817E-3</v>
      </c>
    </row>
    <row r="1397" spans="1:9" x14ac:dyDescent="0.25">
      <c r="A1397" t="s">
        <v>432</v>
      </c>
      <c r="B1397" t="s">
        <v>117</v>
      </c>
      <c r="C1397">
        <v>2000</v>
      </c>
      <c r="D1397" s="130">
        <v>60.400002000000001</v>
      </c>
      <c r="E1397" s="130">
        <v>-1.2999989999999999</v>
      </c>
      <c r="F1397" s="130">
        <v>8938.8799999999992</v>
      </c>
      <c r="G1397" s="130">
        <v>3.4787199999999997E-2</v>
      </c>
      <c r="H1397" s="16">
        <v>34000000</v>
      </c>
      <c r="I1397">
        <v>2.8385899999999999E-2</v>
      </c>
    </row>
    <row r="1398" spans="1:9" x14ac:dyDescent="0.25">
      <c r="A1398" t="s">
        <v>432</v>
      </c>
      <c r="B1398" t="s">
        <v>117</v>
      </c>
      <c r="C1398">
        <v>2001</v>
      </c>
      <c r="D1398" s="130">
        <v>59.599997999999999</v>
      </c>
      <c r="E1398" s="130">
        <v>-0.80000309999999997</v>
      </c>
      <c r="F1398" s="130">
        <v>9027.5300000000007</v>
      </c>
      <c r="G1398" s="130">
        <v>9.8677000000000001E-3</v>
      </c>
      <c r="H1398" s="16">
        <v>35000000</v>
      </c>
      <c r="I1398">
        <v>2.4454799999999999E-2</v>
      </c>
    </row>
    <row r="1399" spans="1:9" x14ac:dyDescent="0.25">
      <c r="A1399" t="s">
        <v>432</v>
      </c>
      <c r="B1399" t="s">
        <v>117</v>
      </c>
      <c r="C1399">
        <v>2002</v>
      </c>
      <c r="D1399" s="130">
        <v>60</v>
      </c>
      <c r="E1399" s="130">
        <v>0.40000150000000001</v>
      </c>
      <c r="F1399" s="130">
        <v>9398.9599999999991</v>
      </c>
      <c r="G1399" s="130">
        <v>4.03214E-2</v>
      </c>
      <c r="H1399" s="16">
        <v>36000000</v>
      </c>
      <c r="I1399">
        <v>1.6030599999999999E-2</v>
      </c>
    </row>
    <row r="1400" spans="1:9" x14ac:dyDescent="0.25">
      <c r="A1400" t="s">
        <v>432</v>
      </c>
      <c r="B1400" t="s">
        <v>117</v>
      </c>
      <c r="C1400">
        <v>2003</v>
      </c>
      <c r="D1400" s="130">
        <v>59.5</v>
      </c>
      <c r="E1400" s="130">
        <v>-0.5</v>
      </c>
      <c r="F1400" s="130">
        <v>9962.23</v>
      </c>
      <c r="G1400" s="130">
        <v>5.8200799999999997E-2</v>
      </c>
      <c r="H1400" s="16">
        <v>36000000</v>
      </c>
      <c r="I1400">
        <v>1.34053E-2</v>
      </c>
    </row>
    <row r="1401" spans="1:9" x14ac:dyDescent="0.25">
      <c r="A1401" t="s">
        <v>432</v>
      </c>
      <c r="B1401" t="s">
        <v>117</v>
      </c>
      <c r="C1401">
        <v>2004</v>
      </c>
      <c r="D1401" s="130">
        <v>56.200001</v>
      </c>
      <c r="E1401" s="130">
        <v>-3.2999990000000001</v>
      </c>
      <c r="F1401" s="130">
        <v>10496.7</v>
      </c>
      <c r="G1401" s="130">
        <v>5.2263299999999999E-2</v>
      </c>
      <c r="H1401" s="16">
        <v>37000000</v>
      </c>
      <c r="I1401">
        <v>2.1739000000000001E-2</v>
      </c>
    </row>
    <row r="1402" spans="1:9" x14ac:dyDescent="0.25">
      <c r="A1402" t="s">
        <v>432</v>
      </c>
      <c r="B1402" t="s">
        <v>117</v>
      </c>
      <c r="C1402">
        <v>2005</v>
      </c>
      <c r="D1402" s="130">
        <v>56.299999</v>
      </c>
      <c r="E1402" s="130">
        <v>9.9998500000000004E-2</v>
      </c>
      <c r="F1402" s="130">
        <v>10901</v>
      </c>
      <c r="G1402" s="130">
        <v>3.77913E-2</v>
      </c>
      <c r="H1402" s="16">
        <v>37000000</v>
      </c>
      <c r="I1402">
        <v>1.62706E-2</v>
      </c>
    </row>
    <row r="1403" spans="1:9" x14ac:dyDescent="0.25">
      <c r="A1403" t="s">
        <v>432</v>
      </c>
      <c r="B1403" t="s">
        <v>117</v>
      </c>
      <c r="C1403">
        <v>2006</v>
      </c>
      <c r="D1403" s="130">
        <v>56.299999</v>
      </c>
      <c r="E1403" s="130">
        <v>0</v>
      </c>
      <c r="F1403" s="130">
        <v>11399.8</v>
      </c>
      <c r="G1403" s="130">
        <v>4.4737800000000001E-2</v>
      </c>
      <c r="H1403" s="16">
        <v>37000000</v>
      </c>
      <c r="I1403">
        <v>2.5463E-3</v>
      </c>
    </row>
    <row r="1404" spans="1:9" x14ac:dyDescent="0.25">
      <c r="A1404" t="s">
        <v>432</v>
      </c>
      <c r="B1404" t="s">
        <v>117</v>
      </c>
      <c r="C1404">
        <v>2007</v>
      </c>
      <c r="D1404" s="130">
        <v>56.400002000000001</v>
      </c>
      <c r="E1404" s="130">
        <v>0.1000023</v>
      </c>
      <c r="F1404" s="130">
        <v>11939.8</v>
      </c>
      <c r="G1404" s="130">
        <v>4.6287500000000002E-2</v>
      </c>
      <c r="H1404" s="16">
        <v>38000000</v>
      </c>
      <c r="I1404">
        <v>2.5581699999999999E-2</v>
      </c>
    </row>
    <row r="1405" spans="1:9" x14ac:dyDescent="0.25">
      <c r="A1405" t="s">
        <v>432</v>
      </c>
      <c r="B1405" t="s">
        <v>117</v>
      </c>
      <c r="C1405">
        <v>2008</v>
      </c>
      <c r="D1405" s="130">
        <v>56.799999</v>
      </c>
      <c r="E1405" s="130">
        <v>0.39999770000000001</v>
      </c>
      <c r="F1405" s="130">
        <v>12216.4</v>
      </c>
      <c r="G1405" s="130">
        <v>2.2899599999999999E-2</v>
      </c>
      <c r="H1405" s="16">
        <v>39000000</v>
      </c>
      <c r="I1405">
        <v>1.0289100000000001E-2</v>
      </c>
    </row>
    <row r="1406" spans="1:9" x14ac:dyDescent="0.25">
      <c r="A1406" t="s">
        <v>432</v>
      </c>
      <c r="B1406" t="s">
        <v>117</v>
      </c>
      <c r="C1406">
        <v>2009</v>
      </c>
      <c r="D1406" s="130">
        <v>55.299999</v>
      </c>
      <c r="E1406" s="130">
        <v>-1.5</v>
      </c>
      <c r="F1406" s="130">
        <v>11915.2</v>
      </c>
      <c r="G1406" s="130">
        <v>-2.4962399999999999E-2</v>
      </c>
      <c r="H1406" s="16">
        <v>39000000</v>
      </c>
      <c r="I1406">
        <v>1.3680000000000001E-3</v>
      </c>
    </row>
    <row r="1407" spans="1:9" x14ac:dyDescent="0.25">
      <c r="A1407" t="s">
        <v>432</v>
      </c>
      <c r="B1407" t="s">
        <v>117</v>
      </c>
      <c r="C1407">
        <v>2010</v>
      </c>
      <c r="D1407" s="130">
        <v>55.599997999999999</v>
      </c>
      <c r="E1407" s="130">
        <v>0.29999920000000002</v>
      </c>
      <c r="F1407" s="130">
        <v>12821.7</v>
      </c>
      <c r="G1407" s="130">
        <v>7.3320399999999994E-2</v>
      </c>
      <c r="H1407" s="16">
        <v>39000000</v>
      </c>
      <c r="I1407">
        <v>4.0398999999999999E-3</v>
      </c>
    </row>
    <row r="1408" spans="1:9" x14ac:dyDescent="0.25">
      <c r="A1408" t="s">
        <v>432</v>
      </c>
      <c r="B1408" t="s">
        <v>117</v>
      </c>
      <c r="C1408">
        <v>2011</v>
      </c>
      <c r="D1408" s="130">
        <v>56</v>
      </c>
      <c r="E1408" s="130">
        <v>0.40000150000000001</v>
      </c>
      <c r="F1408" s="130">
        <v>12798</v>
      </c>
      <c r="G1408" s="130">
        <v>-1.8462999999999999E-3</v>
      </c>
      <c r="H1408" s="16">
        <v>39000000</v>
      </c>
      <c r="I1408">
        <v>1.02072E-2</v>
      </c>
    </row>
    <row r="1409" spans="1:9" x14ac:dyDescent="0.25">
      <c r="A1409" t="s">
        <v>432</v>
      </c>
      <c r="B1409" t="s">
        <v>117</v>
      </c>
      <c r="C1409">
        <v>2012</v>
      </c>
      <c r="D1409" s="130">
        <v>56.299999</v>
      </c>
      <c r="E1409" s="130">
        <v>0.29999920000000002</v>
      </c>
      <c r="F1409" s="130">
        <v>13586.1</v>
      </c>
      <c r="G1409" s="130">
        <v>5.9754399999999999E-2</v>
      </c>
      <c r="H1409" s="16">
        <v>39000000</v>
      </c>
      <c r="I1409">
        <v>9.7543000000000005E-3</v>
      </c>
    </row>
    <row r="1410" spans="1:9" x14ac:dyDescent="0.25">
      <c r="A1410" t="s">
        <v>432</v>
      </c>
      <c r="B1410" t="s">
        <v>117</v>
      </c>
      <c r="C1410">
        <v>2013</v>
      </c>
    </row>
    <row r="1411" spans="1:9" x14ac:dyDescent="0.25">
      <c r="A1411" t="s">
        <v>435</v>
      </c>
      <c r="B1411" t="s">
        <v>256</v>
      </c>
      <c r="C1411">
        <v>1990</v>
      </c>
      <c r="D1411" s="130">
        <v>24.9</v>
      </c>
      <c r="F1411" s="130">
        <v>13464</v>
      </c>
      <c r="H1411">
        <v>464207</v>
      </c>
    </row>
    <row r="1412" spans="1:9" x14ac:dyDescent="0.25">
      <c r="A1412" t="s">
        <v>435</v>
      </c>
      <c r="B1412" t="s">
        <v>256</v>
      </c>
      <c r="C1412">
        <v>1991</v>
      </c>
      <c r="D1412" s="130">
        <v>23.200001</v>
      </c>
      <c r="E1412" s="130">
        <v>-1.699999</v>
      </c>
      <c r="F1412" s="130">
        <v>13735.2</v>
      </c>
      <c r="G1412" s="130">
        <v>1.99375E-2</v>
      </c>
      <c r="H1412">
        <v>453413</v>
      </c>
      <c r="I1412">
        <v>-2.3250900000000001E-2</v>
      </c>
    </row>
    <row r="1413" spans="1:9" x14ac:dyDescent="0.25">
      <c r="A1413" t="s">
        <v>435</v>
      </c>
      <c r="B1413" t="s">
        <v>256</v>
      </c>
      <c r="C1413">
        <v>1992</v>
      </c>
      <c r="D1413" s="130">
        <v>24.200001</v>
      </c>
      <c r="E1413" s="130">
        <v>1</v>
      </c>
      <c r="F1413" s="130">
        <v>13426.2</v>
      </c>
      <c r="G1413" s="130">
        <v>-2.27528E-2</v>
      </c>
      <c r="H1413">
        <v>474267</v>
      </c>
      <c r="I1413">
        <v>4.4922700000000003E-2</v>
      </c>
    </row>
    <row r="1414" spans="1:9" x14ac:dyDescent="0.25">
      <c r="A1414" t="s">
        <v>435</v>
      </c>
      <c r="B1414" t="s">
        <v>256</v>
      </c>
      <c r="C1414">
        <v>1993</v>
      </c>
      <c r="D1414" s="130">
        <v>25.299999</v>
      </c>
      <c r="E1414" s="130">
        <v>1.099998</v>
      </c>
      <c r="F1414" s="130">
        <v>13158</v>
      </c>
      <c r="G1414" s="130">
        <v>-2.01759E-2</v>
      </c>
      <c r="H1414">
        <v>491785</v>
      </c>
      <c r="I1414">
        <v>3.7738000000000001E-2</v>
      </c>
    </row>
    <row r="1415" spans="1:9" x14ac:dyDescent="0.25">
      <c r="A1415" t="s">
        <v>435</v>
      </c>
      <c r="B1415" t="s">
        <v>256</v>
      </c>
      <c r="C1415">
        <v>1994</v>
      </c>
      <c r="D1415" s="130">
        <v>24.9</v>
      </c>
      <c r="E1415" s="130">
        <v>-0.39999960000000001</v>
      </c>
      <c r="F1415" s="130">
        <v>13562.3</v>
      </c>
      <c r="G1415" s="130">
        <v>3.0265799999999999E-2</v>
      </c>
      <c r="H1415">
        <v>508394</v>
      </c>
      <c r="I1415">
        <v>3.5779100000000001E-2</v>
      </c>
    </row>
    <row r="1416" spans="1:9" x14ac:dyDescent="0.25">
      <c r="A1416" t="s">
        <v>435</v>
      </c>
      <c r="B1416" t="s">
        <v>256</v>
      </c>
      <c r="C1416">
        <v>1995</v>
      </c>
      <c r="D1416" s="130">
        <v>24.700001</v>
      </c>
      <c r="E1416" s="130">
        <v>-0.19999890000000001</v>
      </c>
      <c r="F1416" s="130">
        <v>14046.1</v>
      </c>
      <c r="G1416" s="130">
        <v>3.5046599999999997E-2</v>
      </c>
      <c r="H1416">
        <v>523164</v>
      </c>
      <c r="I1416">
        <v>3.18178E-2</v>
      </c>
    </row>
    <row r="1417" spans="1:9" x14ac:dyDescent="0.25">
      <c r="A1417" t="s">
        <v>435</v>
      </c>
      <c r="B1417" t="s">
        <v>256</v>
      </c>
      <c r="C1417">
        <v>1996</v>
      </c>
      <c r="D1417" s="130">
        <v>23.5</v>
      </c>
      <c r="E1417" s="130">
        <v>-1.2000010000000001</v>
      </c>
      <c r="F1417" s="130">
        <v>14561.4</v>
      </c>
      <c r="G1417" s="130">
        <v>3.6030800000000002E-2</v>
      </c>
      <c r="H1417">
        <v>538639</v>
      </c>
      <c r="I1417">
        <v>3.3336900000000003E-2</v>
      </c>
    </row>
    <row r="1418" spans="1:9" x14ac:dyDescent="0.25">
      <c r="A1418" t="s">
        <v>435</v>
      </c>
      <c r="B1418" t="s">
        <v>256</v>
      </c>
      <c r="C1418">
        <v>1997</v>
      </c>
      <c r="D1418" s="130">
        <v>23</v>
      </c>
      <c r="E1418" s="130">
        <v>-0.5</v>
      </c>
      <c r="F1418" s="130">
        <v>14927.8</v>
      </c>
      <c r="G1418" s="130">
        <v>2.4849900000000001E-2</v>
      </c>
      <c r="H1418">
        <v>549398</v>
      </c>
      <c r="I1418">
        <v>2.3176800000000001E-2</v>
      </c>
    </row>
    <row r="1419" spans="1:9" x14ac:dyDescent="0.25">
      <c r="A1419" t="s">
        <v>435</v>
      </c>
      <c r="B1419" t="s">
        <v>256</v>
      </c>
      <c r="C1419">
        <v>1998</v>
      </c>
      <c r="D1419" s="130">
        <v>22</v>
      </c>
      <c r="E1419" s="130">
        <v>-1</v>
      </c>
      <c r="F1419" s="130">
        <v>16063.7</v>
      </c>
      <c r="G1419" s="130">
        <v>7.3341400000000001E-2</v>
      </c>
      <c r="H1419">
        <v>559614</v>
      </c>
      <c r="I1419">
        <v>2.20085E-2</v>
      </c>
    </row>
    <row r="1420" spans="1:9" x14ac:dyDescent="0.25">
      <c r="A1420" t="s">
        <v>435</v>
      </c>
      <c r="B1420" t="s">
        <v>256</v>
      </c>
      <c r="C1420">
        <v>1999</v>
      </c>
      <c r="D1420" s="130">
        <v>22.6</v>
      </c>
      <c r="E1420" s="130">
        <v>0.60000039999999999</v>
      </c>
      <c r="F1420" s="130">
        <v>16739.099999999999</v>
      </c>
      <c r="G1420" s="130">
        <v>4.11797E-2</v>
      </c>
      <c r="H1420">
        <v>568137</v>
      </c>
      <c r="I1420">
        <v>1.83603E-2</v>
      </c>
    </row>
    <row r="1421" spans="1:9" x14ac:dyDescent="0.25">
      <c r="A1421" t="s">
        <v>435</v>
      </c>
      <c r="B1421" t="s">
        <v>256</v>
      </c>
      <c r="C1421">
        <v>2000</v>
      </c>
      <c r="D1421" s="130">
        <v>22.4</v>
      </c>
      <c r="E1421" s="130">
        <v>-0.20000080000000001</v>
      </c>
      <c r="F1421" s="130">
        <v>17721</v>
      </c>
      <c r="G1421" s="130">
        <v>5.7005899999999998E-2</v>
      </c>
      <c r="H1421">
        <v>577538</v>
      </c>
      <c r="I1421">
        <v>2.0250199999999999E-2</v>
      </c>
    </row>
    <row r="1422" spans="1:9" x14ac:dyDescent="0.25">
      <c r="A1422" t="s">
        <v>435</v>
      </c>
      <c r="B1422" t="s">
        <v>256</v>
      </c>
      <c r="C1422">
        <v>2001</v>
      </c>
      <c r="D1422" s="130">
        <v>22.799999</v>
      </c>
      <c r="E1422" s="130">
        <v>0.39999960000000001</v>
      </c>
      <c r="F1422" s="130">
        <v>18383.3</v>
      </c>
      <c r="G1422" s="130">
        <v>3.6692599999999999E-2</v>
      </c>
      <c r="H1422">
        <v>586858</v>
      </c>
      <c r="I1422">
        <v>2.00789E-2</v>
      </c>
    </row>
    <row r="1423" spans="1:9" x14ac:dyDescent="0.25">
      <c r="A1423" t="s">
        <v>435</v>
      </c>
      <c r="B1423" t="s">
        <v>256</v>
      </c>
      <c r="C1423">
        <v>2002</v>
      </c>
      <c r="D1423" s="130">
        <v>21.799999</v>
      </c>
      <c r="E1423" s="130">
        <v>-1</v>
      </c>
      <c r="F1423" s="130">
        <v>19772.900000000001</v>
      </c>
      <c r="G1423" s="130">
        <v>7.2870299999999999E-2</v>
      </c>
      <c r="H1423">
        <v>596999</v>
      </c>
      <c r="I1423">
        <v>2.1845900000000001E-2</v>
      </c>
    </row>
    <row r="1424" spans="1:9" x14ac:dyDescent="0.25">
      <c r="A1424" t="s">
        <v>435</v>
      </c>
      <c r="B1424" t="s">
        <v>256</v>
      </c>
      <c r="C1424">
        <v>2003</v>
      </c>
      <c r="D1424" s="130">
        <v>21.200001</v>
      </c>
      <c r="E1424" s="130">
        <v>-0.59999849999999999</v>
      </c>
      <c r="F1424" s="130">
        <v>22518.6</v>
      </c>
      <c r="G1424" s="130">
        <v>0.1300268</v>
      </c>
      <c r="H1424">
        <v>616681</v>
      </c>
      <c r="I1424">
        <v>4.23971E-2</v>
      </c>
    </row>
    <row r="1425" spans="1:9" x14ac:dyDescent="0.25">
      <c r="A1425" t="s">
        <v>435</v>
      </c>
      <c r="B1425" t="s">
        <v>256</v>
      </c>
      <c r="C1425">
        <v>2004</v>
      </c>
      <c r="D1425" s="130">
        <v>20.299999</v>
      </c>
      <c r="E1425" s="130">
        <v>-0.90000150000000001</v>
      </c>
      <c r="F1425" s="130">
        <v>24174.9</v>
      </c>
      <c r="G1425" s="130">
        <v>7.0975300000000005E-2</v>
      </c>
      <c r="H1425">
        <v>636027</v>
      </c>
      <c r="I1425">
        <v>4.1676199999999997E-2</v>
      </c>
    </row>
    <row r="1426" spans="1:9" x14ac:dyDescent="0.25">
      <c r="A1426" t="s">
        <v>435</v>
      </c>
      <c r="B1426" t="s">
        <v>256</v>
      </c>
      <c r="C1426">
        <v>2005</v>
      </c>
      <c r="D1426" s="130">
        <v>20.100000000000001</v>
      </c>
      <c r="E1426" s="130">
        <v>-0.19999890000000001</v>
      </c>
      <c r="F1426" s="130">
        <v>25439.3</v>
      </c>
      <c r="G1426" s="130">
        <v>5.0981499999999999E-2</v>
      </c>
      <c r="H1426">
        <v>655817</v>
      </c>
      <c r="I1426">
        <v>4.26314E-2</v>
      </c>
    </row>
    <row r="1427" spans="1:9" x14ac:dyDescent="0.25">
      <c r="A1427" t="s">
        <v>435</v>
      </c>
      <c r="B1427" t="s">
        <v>256</v>
      </c>
      <c r="C1427">
        <v>2006</v>
      </c>
      <c r="F1427" s="130">
        <v>28790.3</v>
      </c>
      <c r="G1427" s="130">
        <v>0.12374309999999999</v>
      </c>
      <c r="H1427">
        <v>661620</v>
      </c>
      <c r="I1427">
        <v>1.2500900000000001E-2</v>
      </c>
    </row>
    <row r="1428" spans="1:9" x14ac:dyDescent="0.25">
      <c r="A1428" t="s">
        <v>435</v>
      </c>
      <c r="B1428" t="s">
        <v>256</v>
      </c>
      <c r="C1428">
        <v>2007</v>
      </c>
      <c r="F1428" s="130">
        <v>30008</v>
      </c>
      <c r="G1428" s="130">
        <v>4.1424799999999998E-2</v>
      </c>
      <c r="H1428">
        <v>664413</v>
      </c>
      <c r="I1428">
        <v>6.0166000000000004E-3</v>
      </c>
    </row>
    <row r="1429" spans="1:9" x14ac:dyDescent="0.25">
      <c r="A1429" t="s">
        <v>435</v>
      </c>
      <c r="B1429" t="s">
        <v>256</v>
      </c>
      <c r="C1429">
        <v>2008</v>
      </c>
      <c r="F1429" s="130">
        <v>30874.799999999999</v>
      </c>
      <c r="G1429" s="130">
        <v>2.8474800000000001E-2</v>
      </c>
      <c r="H1429">
        <v>669386</v>
      </c>
      <c r="I1429">
        <v>1.07143E-2</v>
      </c>
    </row>
    <row r="1430" spans="1:9" x14ac:dyDescent="0.25">
      <c r="A1430" t="s">
        <v>435</v>
      </c>
      <c r="B1430" t="s">
        <v>256</v>
      </c>
      <c r="C1430">
        <v>2009</v>
      </c>
      <c r="F1430" s="130">
        <v>29383.4</v>
      </c>
      <c r="G1430" s="130">
        <v>-4.9510999999999999E-2</v>
      </c>
      <c r="H1430">
        <v>665173</v>
      </c>
      <c r="I1430">
        <v>-9.0754000000000008E-3</v>
      </c>
    </row>
    <row r="1431" spans="1:9" x14ac:dyDescent="0.25">
      <c r="A1431" t="s">
        <v>435</v>
      </c>
      <c r="B1431" t="s">
        <v>256</v>
      </c>
      <c r="C1431">
        <v>2010</v>
      </c>
      <c r="F1431" s="130">
        <v>29321</v>
      </c>
      <c r="G1431" s="130">
        <v>-2.1237999999999999E-3</v>
      </c>
      <c r="H1431">
        <v>671730</v>
      </c>
      <c r="I1431">
        <v>1.41253E-2</v>
      </c>
    </row>
    <row r="1432" spans="1:9" x14ac:dyDescent="0.25">
      <c r="A1432" t="s">
        <v>435</v>
      </c>
      <c r="B1432" t="s">
        <v>256</v>
      </c>
      <c r="C1432">
        <v>2011</v>
      </c>
      <c r="F1432" s="130">
        <v>28743.3</v>
      </c>
      <c r="G1432" s="130">
        <v>-1.9899400000000001E-2</v>
      </c>
      <c r="H1432">
        <v>675468</v>
      </c>
      <c r="I1432">
        <v>8.0510000000000009E-3</v>
      </c>
    </row>
    <row r="1433" spans="1:9" x14ac:dyDescent="0.25">
      <c r="A1433" t="s">
        <v>435</v>
      </c>
      <c r="B1433" t="s">
        <v>256</v>
      </c>
      <c r="C1433">
        <v>2012</v>
      </c>
      <c r="F1433" s="130">
        <v>29085.8</v>
      </c>
      <c r="G1433" s="130">
        <v>1.18456E-2</v>
      </c>
      <c r="H1433">
        <v>678521</v>
      </c>
      <c r="I1433">
        <v>6.5770999999999998E-3</v>
      </c>
    </row>
    <row r="1434" spans="1:9" x14ac:dyDescent="0.25">
      <c r="A1434" t="s">
        <v>435</v>
      </c>
      <c r="B1434" t="s">
        <v>256</v>
      </c>
      <c r="C1434">
        <v>2013</v>
      </c>
    </row>
    <row r="1435" spans="1:9" x14ac:dyDescent="0.25">
      <c r="A1435" t="s">
        <v>437</v>
      </c>
      <c r="B1435" t="s">
        <v>121</v>
      </c>
      <c r="C1435">
        <v>1990</v>
      </c>
      <c r="D1435" s="130">
        <v>61</v>
      </c>
      <c r="F1435" s="130">
        <v>10723.6</v>
      </c>
      <c r="H1435" s="16">
        <v>20000000</v>
      </c>
    </row>
    <row r="1436" spans="1:9" x14ac:dyDescent="0.25">
      <c r="A1436" t="s">
        <v>437</v>
      </c>
      <c r="B1436" t="s">
        <v>121</v>
      </c>
      <c r="C1436">
        <v>1991</v>
      </c>
      <c r="D1436" s="130">
        <v>62</v>
      </c>
      <c r="E1436" s="130">
        <v>1</v>
      </c>
      <c r="F1436" s="130">
        <v>10620.6</v>
      </c>
      <c r="G1436" s="130">
        <v>-9.6568999999999995E-3</v>
      </c>
      <c r="H1436" s="16">
        <v>20000000</v>
      </c>
      <c r="I1436">
        <v>1.8640899999999998E-2</v>
      </c>
    </row>
    <row r="1437" spans="1:9" x14ac:dyDescent="0.25">
      <c r="A1437" t="s">
        <v>437</v>
      </c>
      <c r="B1437" t="s">
        <v>121</v>
      </c>
      <c r="C1437">
        <v>1992</v>
      </c>
      <c r="D1437" s="130">
        <v>60.299999</v>
      </c>
      <c r="E1437" s="130">
        <v>-1.7000010000000001</v>
      </c>
      <c r="F1437" s="130">
        <v>10974.7</v>
      </c>
      <c r="G1437" s="130">
        <v>3.28016E-2</v>
      </c>
      <c r="H1437" s="16">
        <v>20000000</v>
      </c>
      <c r="I1437">
        <v>7.6495E-3</v>
      </c>
    </row>
    <row r="1438" spans="1:9" x14ac:dyDescent="0.25">
      <c r="A1438" t="s">
        <v>437</v>
      </c>
      <c r="B1438" t="s">
        <v>121</v>
      </c>
      <c r="C1438">
        <v>1993</v>
      </c>
      <c r="D1438" s="130">
        <v>57.799999</v>
      </c>
      <c r="E1438" s="130">
        <v>-2.5</v>
      </c>
      <c r="F1438" s="130">
        <v>11627.4</v>
      </c>
      <c r="G1438" s="130">
        <v>5.7767899999999997E-2</v>
      </c>
      <c r="H1438" s="16">
        <v>19000000</v>
      </c>
      <c r="I1438">
        <v>-4.79493E-2</v>
      </c>
    </row>
    <row r="1439" spans="1:9" x14ac:dyDescent="0.25">
      <c r="A1439" t="s">
        <v>437</v>
      </c>
      <c r="B1439" t="s">
        <v>121</v>
      </c>
      <c r="C1439">
        <v>1994</v>
      </c>
      <c r="D1439" s="130">
        <v>59.099997999999999</v>
      </c>
      <c r="E1439" s="130">
        <v>1.2999989999999999</v>
      </c>
      <c r="F1439" s="130">
        <v>10911.4</v>
      </c>
      <c r="G1439" s="130">
        <v>-6.3557600000000006E-2</v>
      </c>
      <c r="H1439" s="16">
        <v>21000000</v>
      </c>
      <c r="I1439">
        <v>7.3312799999999997E-2</v>
      </c>
    </row>
    <row r="1440" spans="1:9" x14ac:dyDescent="0.25">
      <c r="A1440" t="s">
        <v>437</v>
      </c>
      <c r="B1440" t="s">
        <v>121</v>
      </c>
      <c r="C1440">
        <v>1995</v>
      </c>
      <c r="D1440" s="130">
        <v>58.5</v>
      </c>
      <c r="E1440" s="130">
        <v>-0.59999849999999999</v>
      </c>
      <c r="F1440" s="130">
        <v>11588.2</v>
      </c>
      <c r="G1440" s="130">
        <v>6.0180699999999997E-2</v>
      </c>
      <c r="H1440" s="16">
        <v>21000000</v>
      </c>
      <c r="I1440">
        <v>1.4114399999999999E-2</v>
      </c>
    </row>
    <row r="1441" spans="1:9" x14ac:dyDescent="0.25">
      <c r="A1441" t="s">
        <v>437</v>
      </c>
      <c r="B1441" t="s">
        <v>121</v>
      </c>
      <c r="C1441">
        <v>1996</v>
      </c>
      <c r="D1441" s="130">
        <v>57.200001</v>
      </c>
      <c r="E1441" s="130">
        <v>-1.2999989999999999</v>
      </c>
      <c r="F1441" s="130">
        <v>12250.7</v>
      </c>
      <c r="G1441" s="130">
        <v>5.5600200000000002E-2</v>
      </c>
      <c r="H1441" s="16">
        <v>21000000</v>
      </c>
      <c r="I1441">
        <v>1.7866099999999999E-2</v>
      </c>
    </row>
    <row r="1442" spans="1:9" x14ac:dyDescent="0.25">
      <c r="A1442" t="s">
        <v>437</v>
      </c>
      <c r="B1442" t="s">
        <v>121</v>
      </c>
      <c r="C1442">
        <v>1997</v>
      </c>
      <c r="D1442" s="130">
        <v>55.400002000000001</v>
      </c>
      <c r="E1442" s="130">
        <v>-1.7999989999999999</v>
      </c>
      <c r="F1442" s="130">
        <v>12976</v>
      </c>
      <c r="G1442" s="130">
        <v>5.7519899999999999E-2</v>
      </c>
      <c r="H1442" s="16">
        <v>21000000</v>
      </c>
      <c r="I1442">
        <v>-1.1697999999999999E-3</v>
      </c>
    </row>
    <row r="1443" spans="1:9" x14ac:dyDescent="0.25">
      <c r="A1443" t="s">
        <v>437</v>
      </c>
      <c r="B1443" t="s">
        <v>121</v>
      </c>
      <c r="C1443">
        <v>1998</v>
      </c>
      <c r="D1443" s="130">
        <v>54.799999</v>
      </c>
      <c r="E1443" s="130">
        <v>-0.60000229999999999</v>
      </c>
      <c r="F1443" s="130">
        <v>13072.9</v>
      </c>
      <c r="G1443" s="130">
        <v>7.4377000000000002E-3</v>
      </c>
      <c r="H1443" s="16">
        <v>22000000</v>
      </c>
      <c r="I1443">
        <v>2.7622799999999999E-2</v>
      </c>
    </row>
    <row r="1444" spans="1:9" x14ac:dyDescent="0.25">
      <c r="A1444" t="s">
        <v>437</v>
      </c>
      <c r="B1444" t="s">
        <v>121</v>
      </c>
      <c r="C1444">
        <v>1999</v>
      </c>
      <c r="D1444" s="130">
        <v>55.700001</v>
      </c>
      <c r="E1444" s="130">
        <v>0.90000150000000001</v>
      </c>
      <c r="F1444" s="130">
        <v>12443.1</v>
      </c>
      <c r="G1444" s="130">
        <v>-4.9377400000000002E-2</v>
      </c>
      <c r="H1444" s="16">
        <v>22000000</v>
      </c>
      <c r="I1444">
        <v>2.3254799999999999E-2</v>
      </c>
    </row>
    <row r="1445" spans="1:9" x14ac:dyDescent="0.25">
      <c r="A1445" t="s">
        <v>437</v>
      </c>
      <c r="B1445" t="s">
        <v>121</v>
      </c>
      <c r="C1445">
        <v>2000</v>
      </c>
      <c r="D1445" s="130">
        <v>51.400002000000001</v>
      </c>
      <c r="E1445" s="130">
        <v>-4.2999989999999997</v>
      </c>
      <c r="F1445" s="130">
        <v>13090.3</v>
      </c>
      <c r="G1445" s="130">
        <v>5.0706899999999999E-2</v>
      </c>
      <c r="H1445" s="16">
        <v>21000000</v>
      </c>
      <c r="I1445">
        <v>-3.9787099999999999E-2</v>
      </c>
    </row>
    <row r="1446" spans="1:9" x14ac:dyDescent="0.25">
      <c r="A1446" t="s">
        <v>437</v>
      </c>
      <c r="B1446" t="s">
        <v>121</v>
      </c>
      <c r="C1446">
        <v>2001</v>
      </c>
      <c r="D1446" s="130">
        <v>52.799999</v>
      </c>
      <c r="E1446" s="130">
        <v>1.3999980000000001</v>
      </c>
      <c r="F1446" s="130">
        <v>12166.2</v>
      </c>
      <c r="G1446" s="130">
        <v>-7.3210700000000004E-2</v>
      </c>
      <c r="H1446" s="16">
        <v>22000000</v>
      </c>
      <c r="I1446">
        <v>1.899E-2</v>
      </c>
    </row>
    <row r="1447" spans="1:9" x14ac:dyDescent="0.25">
      <c r="A1447" t="s">
        <v>437</v>
      </c>
      <c r="B1447" t="s">
        <v>121</v>
      </c>
      <c r="C1447">
        <v>2002</v>
      </c>
      <c r="D1447" s="130">
        <v>50.200001</v>
      </c>
      <c r="E1447" s="130">
        <v>-2.5999979999999998</v>
      </c>
      <c r="F1447" s="130">
        <v>12732.9</v>
      </c>
      <c r="G1447" s="130">
        <v>4.5532200000000002E-2</v>
      </c>
      <c r="H1447" s="16">
        <v>22000000</v>
      </c>
      <c r="I1447">
        <v>1.6248100000000001E-2</v>
      </c>
    </row>
    <row r="1448" spans="1:9" x14ac:dyDescent="0.25">
      <c r="A1448" t="s">
        <v>437</v>
      </c>
      <c r="B1448" t="s">
        <v>121</v>
      </c>
      <c r="C1448">
        <v>2003</v>
      </c>
      <c r="D1448" s="130">
        <v>49.400002000000001</v>
      </c>
      <c r="E1448" s="130">
        <v>-0.79999920000000002</v>
      </c>
      <c r="F1448" s="130">
        <v>13217.2</v>
      </c>
      <c r="G1448" s="130">
        <v>3.7324900000000001E-2</v>
      </c>
      <c r="H1448" s="16">
        <v>22000000</v>
      </c>
      <c r="I1448">
        <v>-8.1227999999999995E-3</v>
      </c>
    </row>
    <row r="1449" spans="1:9" x14ac:dyDescent="0.25">
      <c r="A1449" t="s">
        <v>437</v>
      </c>
      <c r="B1449" t="s">
        <v>121</v>
      </c>
      <c r="C1449">
        <v>2004</v>
      </c>
      <c r="D1449" s="130">
        <v>49.200001</v>
      </c>
      <c r="E1449" s="130">
        <v>-0.20000080000000001</v>
      </c>
      <c r="F1449" s="130">
        <v>14258.5</v>
      </c>
      <c r="G1449" s="130">
        <v>7.5833300000000006E-2</v>
      </c>
      <c r="H1449" s="16">
        <v>22000000</v>
      </c>
      <c r="I1449">
        <v>-2.3094000000000001E-3</v>
      </c>
    </row>
    <row r="1450" spans="1:9" x14ac:dyDescent="0.25">
      <c r="A1450" t="s">
        <v>437</v>
      </c>
      <c r="B1450" t="s">
        <v>121</v>
      </c>
      <c r="C1450">
        <v>2005</v>
      </c>
      <c r="D1450" s="130">
        <v>45.799999</v>
      </c>
      <c r="E1450" s="130">
        <v>-3.4000020000000002</v>
      </c>
      <c r="F1450" s="130">
        <v>15251.7</v>
      </c>
      <c r="G1450" s="130">
        <v>6.7336999999999994E-2</v>
      </c>
      <c r="H1450" s="16">
        <v>22000000</v>
      </c>
      <c r="I1450">
        <v>2.3762800000000001E-2</v>
      </c>
    </row>
    <row r="1451" spans="1:9" x14ac:dyDescent="0.25">
      <c r="A1451" t="s">
        <v>437</v>
      </c>
      <c r="B1451" t="s">
        <v>121</v>
      </c>
      <c r="C1451">
        <v>2006</v>
      </c>
      <c r="D1451" s="130">
        <v>41.099997999999999</v>
      </c>
      <c r="E1451" s="130">
        <v>-4.7000010000000003</v>
      </c>
      <c r="F1451" s="130">
        <v>16093.2</v>
      </c>
      <c r="G1451" s="130">
        <v>5.3708100000000002E-2</v>
      </c>
      <c r="H1451" s="16">
        <v>23000000</v>
      </c>
      <c r="I1451">
        <v>1.5961400000000001E-2</v>
      </c>
    </row>
    <row r="1452" spans="1:9" x14ac:dyDescent="0.25">
      <c r="A1452" t="s">
        <v>437</v>
      </c>
      <c r="B1452" t="s">
        <v>121</v>
      </c>
      <c r="C1452">
        <v>2007</v>
      </c>
      <c r="D1452" s="130">
        <v>39.5</v>
      </c>
      <c r="E1452" s="130">
        <v>-1.599998</v>
      </c>
      <c r="F1452" s="130">
        <v>16633.599999999999</v>
      </c>
      <c r="G1452" s="130">
        <v>3.3028599999999998E-2</v>
      </c>
      <c r="H1452" s="16">
        <v>23000000</v>
      </c>
      <c r="I1452">
        <v>2.06251E-2</v>
      </c>
    </row>
    <row r="1453" spans="1:9" x14ac:dyDescent="0.25">
      <c r="A1453" t="s">
        <v>437</v>
      </c>
      <c r="B1453" t="s">
        <v>121</v>
      </c>
      <c r="C1453">
        <v>2008</v>
      </c>
      <c r="D1453" s="130">
        <v>39</v>
      </c>
      <c r="E1453" s="130">
        <v>-0.5</v>
      </c>
      <c r="F1453" s="130">
        <v>16536.900000000001</v>
      </c>
      <c r="G1453" s="130">
        <v>-5.8317000000000004E-3</v>
      </c>
      <c r="H1453" s="16">
        <v>24000000</v>
      </c>
      <c r="I1453">
        <v>3.6243400000000002E-2</v>
      </c>
    </row>
    <row r="1454" spans="1:9" x14ac:dyDescent="0.25">
      <c r="A1454" t="s">
        <v>437</v>
      </c>
      <c r="B1454" t="s">
        <v>121</v>
      </c>
      <c r="C1454">
        <v>2009</v>
      </c>
      <c r="D1454" s="130">
        <v>40</v>
      </c>
      <c r="E1454" s="130">
        <v>1</v>
      </c>
      <c r="F1454" s="130">
        <v>15545</v>
      </c>
      <c r="G1454" s="130">
        <v>-6.1856300000000003E-2</v>
      </c>
      <c r="H1454" s="16">
        <v>25000000</v>
      </c>
      <c r="I1454">
        <v>5.0337199999999999E-2</v>
      </c>
    </row>
    <row r="1455" spans="1:9" x14ac:dyDescent="0.25">
      <c r="A1455" t="s">
        <v>437</v>
      </c>
      <c r="B1455" t="s">
        <v>121</v>
      </c>
      <c r="C1455">
        <v>2010</v>
      </c>
      <c r="D1455" s="130">
        <v>39.099997999999999</v>
      </c>
      <c r="E1455" s="130">
        <v>-0.90000150000000001</v>
      </c>
      <c r="F1455" s="130">
        <v>16757.5</v>
      </c>
      <c r="G1455" s="130">
        <v>7.5111399999999995E-2</v>
      </c>
      <c r="H1455" s="16">
        <v>26000000</v>
      </c>
      <c r="I1455">
        <v>4.6417100000000003E-2</v>
      </c>
    </row>
    <row r="1456" spans="1:9" x14ac:dyDescent="0.25">
      <c r="A1456" t="s">
        <v>437</v>
      </c>
      <c r="B1456" t="s">
        <v>121</v>
      </c>
      <c r="C1456">
        <v>2011</v>
      </c>
      <c r="D1456" s="130">
        <v>38.299999</v>
      </c>
      <c r="E1456" s="130">
        <v>-0.79999920000000002</v>
      </c>
      <c r="F1456" s="130">
        <v>17997.8</v>
      </c>
      <c r="G1456" s="130">
        <v>7.1402499999999994E-2</v>
      </c>
      <c r="H1456" s="16">
        <v>27000000</v>
      </c>
      <c r="I1456">
        <v>5.0626299999999999E-2</v>
      </c>
    </row>
    <row r="1457" spans="1:9" x14ac:dyDescent="0.25">
      <c r="A1457" t="s">
        <v>437</v>
      </c>
      <c r="B1457" t="s">
        <v>121</v>
      </c>
      <c r="C1457">
        <v>2012</v>
      </c>
      <c r="D1457" s="130">
        <v>37.099997999999999</v>
      </c>
      <c r="E1457" s="130">
        <v>-1.2000010000000001</v>
      </c>
      <c r="F1457" s="130">
        <v>18167.5</v>
      </c>
      <c r="G1457" s="130">
        <v>9.3813000000000004E-3</v>
      </c>
      <c r="H1457" s="16">
        <v>27000000</v>
      </c>
      <c r="I1457">
        <v>2.12649E-2</v>
      </c>
    </row>
    <row r="1458" spans="1:9" x14ac:dyDescent="0.25">
      <c r="A1458" t="s">
        <v>437</v>
      </c>
      <c r="B1458" t="s">
        <v>121</v>
      </c>
      <c r="C1458">
        <v>2013</v>
      </c>
    </row>
    <row r="1459" spans="1:9" x14ac:dyDescent="0.25">
      <c r="A1459" t="s">
        <v>439</v>
      </c>
      <c r="B1459" t="s">
        <v>80</v>
      </c>
      <c r="C1459">
        <v>1995</v>
      </c>
      <c r="D1459" s="130">
        <v>10.4</v>
      </c>
      <c r="F1459" s="130">
        <v>5080.74</v>
      </c>
      <c r="H1459" s="16">
        <v>25000000</v>
      </c>
    </row>
    <row r="1460" spans="1:9" x14ac:dyDescent="0.25">
      <c r="A1460" t="s">
        <v>439</v>
      </c>
      <c r="B1460" t="s">
        <v>80</v>
      </c>
      <c r="C1460">
        <v>1996</v>
      </c>
      <c r="D1460" s="130">
        <v>11</v>
      </c>
      <c r="E1460" s="130">
        <v>0.60000039999999999</v>
      </c>
      <c r="F1460" s="130">
        <v>4613.43</v>
      </c>
      <c r="G1460" s="130">
        <v>-9.6486100000000005E-2</v>
      </c>
      <c r="H1460" s="16">
        <v>25000000</v>
      </c>
      <c r="I1460">
        <v>-9.7265000000000008E-3</v>
      </c>
    </row>
    <row r="1461" spans="1:9" x14ac:dyDescent="0.25">
      <c r="A1461" t="s">
        <v>439</v>
      </c>
      <c r="B1461" t="s">
        <v>80</v>
      </c>
      <c r="C1461">
        <v>1997</v>
      </c>
      <c r="D1461" s="130">
        <v>16.299999</v>
      </c>
      <c r="E1461" s="130">
        <v>5.2999989999999997</v>
      </c>
      <c r="F1461" s="130">
        <v>4515.9799999999996</v>
      </c>
      <c r="G1461" s="130">
        <v>-2.1347999999999999E-2</v>
      </c>
      <c r="H1461" s="16">
        <v>24000000</v>
      </c>
      <c r="I1461">
        <v>-1.2367299999999999E-2</v>
      </c>
    </row>
    <row r="1462" spans="1:9" x14ac:dyDescent="0.25">
      <c r="A1462" t="s">
        <v>439</v>
      </c>
      <c r="B1462" t="s">
        <v>80</v>
      </c>
      <c r="C1462">
        <v>1998</v>
      </c>
      <c r="D1462" s="130">
        <v>17.700001</v>
      </c>
      <c r="E1462" s="130">
        <v>1.400002</v>
      </c>
      <c r="F1462" s="130">
        <v>4469.95</v>
      </c>
      <c r="G1462" s="130">
        <v>-1.0245300000000001E-2</v>
      </c>
      <c r="H1462" s="16">
        <v>24000000</v>
      </c>
      <c r="I1462">
        <v>-9.8960999999999997E-3</v>
      </c>
    </row>
    <row r="1463" spans="1:9" x14ac:dyDescent="0.25">
      <c r="A1463" t="s">
        <v>439</v>
      </c>
      <c r="B1463" t="s">
        <v>80</v>
      </c>
      <c r="C1463">
        <v>1999</v>
      </c>
      <c r="D1463" s="130">
        <v>8.8000001999999995</v>
      </c>
      <c r="E1463" s="130">
        <v>-8.9000009999999996</v>
      </c>
      <c r="F1463" s="130">
        <v>4503.2700000000004</v>
      </c>
      <c r="G1463" s="130">
        <v>7.4272000000000001E-3</v>
      </c>
      <c r="H1463" s="16">
        <v>24000000</v>
      </c>
      <c r="I1463">
        <v>-1.1645600000000001E-2</v>
      </c>
    </row>
    <row r="1464" spans="1:9" x14ac:dyDescent="0.25">
      <c r="A1464" t="s">
        <v>439</v>
      </c>
      <c r="B1464" t="s">
        <v>80</v>
      </c>
      <c r="C1464">
        <v>2000</v>
      </c>
      <c r="D1464" s="130">
        <v>10.1</v>
      </c>
      <c r="E1464" s="130">
        <v>1.3</v>
      </c>
      <c r="F1464" s="130">
        <v>4817.21</v>
      </c>
      <c r="G1464" s="130">
        <v>6.7390400000000003E-2</v>
      </c>
      <c r="H1464" s="16">
        <v>24000000</v>
      </c>
      <c r="I1464">
        <v>-1.21472E-2</v>
      </c>
    </row>
    <row r="1465" spans="1:9" x14ac:dyDescent="0.25">
      <c r="A1465" t="s">
        <v>439</v>
      </c>
      <c r="B1465" t="s">
        <v>80</v>
      </c>
      <c r="C1465">
        <v>2001</v>
      </c>
      <c r="D1465" s="130">
        <v>10.9</v>
      </c>
      <c r="E1465" s="130">
        <v>0.79999920000000002</v>
      </c>
      <c r="F1465" s="130">
        <v>5313.56</v>
      </c>
      <c r="G1465" s="130">
        <v>9.8066299999999995E-2</v>
      </c>
      <c r="H1465" s="16">
        <v>23000000</v>
      </c>
      <c r="I1465">
        <v>-1.2110299999999999E-2</v>
      </c>
    </row>
    <row r="1466" spans="1:9" x14ac:dyDescent="0.25">
      <c r="A1466" t="s">
        <v>439</v>
      </c>
      <c r="B1466" t="s">
        <v>80</v>
      </c>
      <c r="C1466">
        <v>2002</v>
      </c>
      <c r="D1466" s="130">
        <v>12.2</v>
      </c>
      <c r="E1466" s="130">
        <v>1.3</v>
      </c>
      <c r="F1466" s="130">
        <v>5645.68</v>
      </c>
      <c r="G1466" s="130">
        <v>6.0629799999999998E-2</v>
      </c>
      <c r="H1466" s="16">
        <v>23000000</v>
      </c>
      <c r="I1466">
        <v>-7.224E-4</v>
      </c>
    </row>
    <row r="1467" spans="1:9" x14ac:dyDescent="0.25">
      <c r="A1467" t="s">
        <v>439</v>
      </c>
      <c r="B1467" t="s">
        <v>80</v>
      </c>
      <c r="C1467">
        <v>2003</v>
      </c>
      <c r="D1467" s="130">
        <v>12.5</v>
      </c>
      <c r="E1467" s="130">
        <v>0.30000019999999999</v>
      </c>
      <c r="F1467" s="130">
        <v>6226.7</v>
      </c>
      <c r="G1467" s="130">
        <v>9.7954799999999995E-2</v>
      </c>
      <c r="H1467" s="16">
        <v>23000000</v>
      </c>
      <c r="I1467">
        <v>-4.2731999999999996E-3</v>
      </c>
    </row>
    <row r="1468" spans="1:9" x14ac:dyDescent="0.25">
      <c r="A1468" t="s">
        <v>439</v>
      </c>
      <c r="B1468" t="s">
        <v>80</v>
      </c>
      <c r="C1468">
        <v>2004</v>
      </c>
      <c r="D1468" s="130">
        <v>16.399999999999999</v>
      </c>
      <c r="E1468" s="130">
        <v>3.9</v>
      </c>
      <c r="F1468" s="130">
        <v>7033.29</v>
      </c>
      <c r="G1468" s="130">
        <v>0.1218071</v>
      </c>
      <c r="H1468" s="16">
        <v>23000000</v>
      </c>
      <c r="I1468">
        <v>3.6069999999999999E-4</v>
      </c>
    </row>
    <row r="1469" spans="1:9" x14ac:dyDescent="0.25">
      <c r="A1469" t="s">
        <v>439</v>
      </c>
      <c r="B1469" t="s">
        <v>80</v>
      </c>
      <c r="C1469">
        <v>2005</v>
      </c>
      <c r="D1469" s="130">
        <v>18.200001</v>
      </c>
      <c r="E1469" s="130">
        <v>1.800001</v>
      </c>
      <c r="F1469" s="130">
        <v>7276.31</v>
      </c>
      <c r="G1469" s="130">
        <v>3.3969899999999997E-2</v>
      </c>
      <c r="H1469" s="16">
        <v>23000000</v>
      </c>
      <c r="I1469">
        <v>7.6990000000000001E-3</v>
      </c>
    </row>
    <row r="1470" spans="1:9" x14ac:dyDescent="0.25">
      <c r="A1470" t="s">
        <v>439</v>
      </c>
      <c r="B1470" t="s">
        <v>80</v>
      </c>
      <c r="C1470">
        <v>2006</v>
      </c>
      <c r="D1470" s="130">
        <v>19</v>
      </c>
      <c r="E1470" s="130">
        <v>0.79999920000000002</v>
      </c>
      <c r="F1470" s="130">
        <v>7860.44</v>
      </c>
      <c r="G1470" s="130">
        <v>7.7219999999999997E-2</v>
      </c>
      <c r="H1470" s="16">
        <v>23000000</v>
      </c>
      <c r="I1470">
        <v>-9.4140000000000001E-4</v>
      </c>
    </row>
    <row r="1471" spans="1:9" x14ac:dyDescent="0.25">
      <c r="A1471" t="s">
        <v>439</v>
      </c>
      <c r="B1471" t="s">
        <v>80</v>
      </c>
      <c r="C1471">
        <v>2007</v>
      </c>
      <c r="D1471" s="130">
        <v>19.299999</v>
      </c>
      <c r="E1471" s="130">
        <v>0.29999920000000002</v>
      </c>
      <c r="F1471" s="130">
        <v>8532.19</v>
      </c>
      <c r="G1471" s="130">
        <v>8.2002599999999995E-2</v>
      </c>
      <c r="H1471" s="16">
        <v>23000000</v>
      </c>
      <c r="I1471">
        <v>-1.2959E-3</v>
      </c>
    </row>
    <row r="1472" spans="1:9" x14ac:dyDescent="0.25">
      <c r="A1472" t="s">
        <v>439</v>
      </c>
      <c r="B1472" t="s">
        <v>80</v>
      </c>
      <c r="C1472">
        <v>2008</v>
      </c>
      <c r="D1472" s="130">
        <v>18</v>
      </c>
      <c r="E1472" s="130">
        <v>-1.2999989999999999</v>
      </c>
      <c r="F1472" s="130">
        <v>8775.82</v>
      </c>
      <c r="G1472" s="130">
        <v>2.8153399999999999E-2</v>
      </c>
      <c r="H1472" s="16">
        <v>23000000</v>
      </c>
      <c r="I1472">
        <v>-1.8468E-3</v>
      </c>
    </row>
    <row r="1473" spans="1:9" x14ac:dyDescent="0.25">
      <c r="A1473" t="s">
        <v>439</v>
      </c>
      <c r="B1473" t="s">
        <v>80</v>
      </c>
      <c r="C1473">
        <v>2009</v>
      </c>
      <c r="D1473" s="130">
        <v>18.5</v>
      </c>
      <c r="E1473" s="130">
        <v>0.5</v>
      </c>
      <c r="F1473" s="130">
        <v>7510.26</v>
      </c>
      <c r="G1473" s="130">
        <v>-0.15572929999999999</v>
      </c>
      <c r="H1473" s="16">
        <v>23000000</v>
      </c>
      <c r="I1473">
        <v>-1.9147000000000001E-3</v>
      </c>
    </row>
    <row r="1474" spans="1:9" x14ac:dyDescent="0.25">
      <c r="A1474" t="s">
        <v>439</v>
      </c>
      <c r="B1474" t="s">
        <v>80</v>
      </c>
      <c r="C1474">
        <v>2010</v>
      </c>
      <c r="F1474" s="130">
        <v>7856.85</v>
      </c>
      <c r="G1474" s="130">
        <v>4.5115500000000003E-2</v>
      </c>
      <c r="H1474" s="16">
        <v>23000000</v>
      </c>
      <c r="I1474">
        <v>-7.7740000000000003E-4</v>
      </c>
    </row>
    <row r="1475" spans="1:9" x14ac:dyDescent="0.25">
      <c r="A1475" t="s">
        <v>439</v>
      </c>
      <c r="B1475" t="s">
        <v>80</v>
      </c>
      <c r="C1475">
        <v>2011</v>
      </c>
      <c r="D1475" s="130">
        <v>19.299999</v>
      </c>
      <c r="F1475" s="130">
        <v>8295.17</v>
      </c>
      <c r="G1475" s="130">
        <v>5.42879E-2</v>
      </c>
      <c r="H1475" s="16">
        <v>23000000</v>
      </c>
      <c r="I1475">
        <v>2.8370000000000001E-4</v>
      </c>
    </row>
    <row r="1476" spans="1:9" x14ac:dyDescent="0.25">
      <c r="A1476" t="s">
        <v>439</v>
      </c>
      <c r="B1476" t="s">
        <v>80</v>
      </c>
      <c r="C1476">
        <v>2012</v>
      </c>
      <c r="D1476" s="130">
        <v>18.799999</v>
      </c>
      <c r="E1476" s="130">
        <v>-0.5</v>
      </c>
      <c r="F1476" s="130">
        <v>8332.32</v>
      </c>
      <c r="G1476" s="130">
        <v>4.4688999999999996E-3</v>
      </c>
      <c r="H1476" s="16">
        <v>23000000</v>
      </c>
      <c r="I1476">
        <v>-1.0801999999999999E-3</v>
      </c>
    </row>
    <row r="1477" spans="1:9" x14ac:dyDescent="0.25">
      <c r="A1477" t="s">
        <v>439</v>
      </c>
      <c r="B1477" t="s">
        <v>80</v>
      </c>
      <c r="C1477">
        <v>2013</v>
      </c>
    </row>
    <row r="1478" spans="1:9" x14ac:dyDescent="0.25">
      <c r="A1478" t="s">
        <v>442</v>
      </c>
      <c r="B1478" t="s">
        <v>173</v>
      </c>
      <c r="C1478">
        <v>1990</v>
      </c>
      <c r="D1478" s="130">
        <v>8.8000001999999995</v>
      </c>
      <c r="F1478" s="130">
        <v>36981.699999999997</v>
      </c>
      <c r="H1478" s="16">
        <v>130000000</v>
      </c>
    </row>
    <row r="1479" spans="1:9" x14ac:dyDescent="0.25">
      <c r="A1479" t="s">
        <v>442</v>
      </c>
      <c r="B1479" t="s">
        <v>173</v>
      </c>
      <c r="C1479">
        <v>1991</v>
      </c>
      <c r="D1479" s="130">
        <v>9</v>
      </c>
      <c r="E1479" s="130">
        <v>0.19999980000000001</v>
      </c>
      <c r="F1479" s="130">
        <v>36464.300000000003</v>
      </c>
      <c r="G1479" s="130">
        <v>-1.4089600000000001E-2</v>
      </c>
      <c r="H1479" s="16">
        <v>130000000</v>
      </c>
      <c r="I1479">
        <v>5.0220000000000004E-3</v>
      </c>
    </row>
    <row r="1480" spans="1:9" x14ac:dyDescent="0.25">
      <c r="A1480" t="s">
        <v>442</v>
      </c>
      <c r="B1480" t="s">
        <v>173</v>
      </c>
      <c r="C1480">
        <v>1992</v>
      </c>
      <c r="D1480" s="130">
        <v>8.6999998000000005</v>
      </c>
      <c r="E1480" s="130">
        <v>-0.30000019999999999</v>
      </c>
      <c r="F1480" s="130">
        <v>37240.6</v>
      </c>
      <c r="G1480" s="130">
        <v>2.1066700000000001E-2</v>
      </c>
      <c r="H1480" s="16">
        <v>130000000</v>
      </c>
      <c r="I1480">
        <v>1.7996399999999999E-2</v>
      </c>
    </row>
    <row r="1481" spans="1:9" x14ac:dyDescent="0.25">
      <c r="A1481" t="s">
        <v>442</v>
      </c>
      <c r="B1481" t="s">
        <v>173</v>
      </c>
      <c r="C1481">
        <v>1993</v>
      </c>
      <c r="D1481" s="130">
        <v>8.8000001999999995</v>
      </c>
      <c r="E1481" s="130">
        <v>0.1000004</v>
      </c>
      <c r="F1481" s="130">
        <v>37761.699999999997</v>
      </c>
      <c r="G1481" s="130">
        <v>1.38931E-2</v>
      </c>
      <c r="H1481" s="16">
        <v>130000000</v>
      </c>
      <c r="I1481">
        <v>1.1366599999999999E-2</v>
      </c>
    </row>
    <row r="1482" spans="1:9" x14ac:dyDescent="0.25">
      <c r="A1482" t="s">
        <v>442</v>
      </c>
      <c r="B1482" t="s">
        <v>173</v>
      </c>
      <c r="C1482">
        <v>1994</v>
      </c>
      <c r="D1482" s="130">
        <v>8.8000001999999995</v>
      </c>
      <c r="E1482" s="130">
        <v>0</v>
      </c>
      <c r="F1482" s="130">
        <v>38807.1</v>
      </c>
      <c r="G1482" s="130">
        <v>2.7308499999999999E-2</v>
      </c>
      <c r="H1482" s="16">
        <v>130000000</v>
      </c>
      <c r="I1482">
        <v>1.8867499999999999E-2</v>
      </c>
    </row>
    <row r="1483" spans="1:9" x14ac:dyDescent="0.25">
      <c r="A1483" t="s">
        <v>442</v>
      </c>
      <c r="B1483" t="s">
        <v>173</v>
      </c>
      <c r="C1483">
        <v>1995</v>
      </c>
      <c r="D1483" s="130">
        <v>8.5</v>
      </c>
      <c r="E1483" s="130">
        <v>-0.30000019999999999</v>
      </c>
      <c r="F1483" s="130">
        <v>39390.199999999997</v>
      </c>
      <c r="G1483" s="130">
        <v>1.49155E-2</v>
      </c>
      <c r="H1483" s="16">
        <v>140000000</v>
      </c>
      <c r="I1483">
        <v>1.43702E-2</v>
      </c>
    </row>
    <row r="1484" spans="1:9" x14ac:dyDescent="0.25">
      <c r="A1484" t="s">
        <v>442</v>
      </c>
      <c r="B1484" t="s">
        <v>173</v>
      </c>
      <c r="C1484">
        <v>1996</v>
      </c>
      <c r="D1484" s="130">
        <v>8.3999995999999992</v>
      </c>
      <c r="E1484" s="130">
        <v>-0.1000004</v>
      </c>
      <c r="F1484" s="130">
        <v>40412.5</v>
      </c>
      <c r="G1484" s="130">
        <v>2.5621399999999999E-2</v>
      </c>
      <c r="H1484" s="16">
        <v>140000000</v>
      </c>
      <c r="I1484">
        <v>1.6421700000000001E-2</v>
      </c>
    </row>
    <row r="1485" spans="1:9" x14ac:dyDescent="0.25">
      <c r="A1485" t="s">
        <v>442</v>
      </c>
      <c r="B1485" t="s">
        <v>173</v>
      </c>
      <c r="C1485">
        <v>1997</v>
      </c>
      <c r="D1485" s="130">
        <v>8.1999998000000005</v>
      </c>
      <c r="E1485" s="130">
        <v>-0.19999980000000001</v>
      </c>
      <c r="F1485" s="130">
        <v>41720.699999999997</v>
      </c>
      <c r="G1485" s="130">
        <v>3.1857499999999997E-2</v>
      </c>
      <c r="H1485" s="16">
        <v>140000000</v>
      </c>
      <c r="I1485">
        <v>1.9253699999999999E-2</v>
      </c>
    </row>
    <row r="1486" spans="1:9" x14ac:dyDescent="0.25">
      <c r="A1486" t="s">
        <v>442</v>
      </c>
      <c r="B1486" t="s">
        <v>173</v>
      </c>
      <c r="C1486">
        <v>1998</v>
      </c>
      <c r="D1486" s="130">
        <v>7.9000000999999997</v>
      </c>
      <c r="E1486" s="130">
        <v>-0.29999969999999998</v>
      </c>
      <c r="F1486" s="130">
        <v>43072.1</v>
      </c>
      <c r="G1486" s="130">
        <v>3.1879400000000002E-2</v>
      </c>
      <c r="H1486" s="16">
        <v>140000000</v>
      </c>
      <c r="I1486">
        <v>1.6172300000000001E-2</v>
      </c>
    </row>
    <row r="1487" spans="1:9" x14ac:dyDescent="0.25">
      <c r="A1487" t="s">
        <v>442</v>
      </c>
      <c r="B1487" t="s">
        <v>173</v>
      </c>
      <c r="C1487">
        <v>1999</v>
      </c>
      <c r="D1487" s="130">
        <v>7.6999997999999996</v>
      </c>
      <c r="E1487" s="130">
        <v>-0.20000029999999999</v>
      </c>
      <c r="F1487" s="130">
        <v>44644</v>
      </c>
      <c r="G1487" s="130">
        <v>3.5843800000000002E-2</v>
      </c>
      <c r="H1487" s="16">
        <v>150000000</v>
      </c>
      <c r="I1487">
        <v>1.47882E-2</v>
      </c>
    </row>
    <row r="1488" spans="1:9" x14ac:dyDescent="0.25">
      <c r="A1488" t="s">
        <v>442</v>
      </c>
      <c r="B1488" t="s">
        <v>173</v>
      </c>
      <c r="C1488">
        <v>2000</v>
      </c>
      <c r="D1488" s="130">
        <v>7.4000000999999997</v>
      </c>
      <c r="E1488" s="130">
        <v>-0.29999969999999998</v>
      </c>
      <c r="F1488" s="130">
        <v>45956</v>
      </c>
      <c r="G1488" s="130">
        <v>2.8964E-2</v>
      </c>
      <c r="H1488" s="16">
        <v>150000000</v>
      </c>
      <c r="I1488">
        <v>1.4770999999999999E-2</v>
      </c>
    </row>
    <row r="1489" spans="1:9" x14ac:dyDescent="0.25">
      <c r="A1489" t="s">
        <v>442</v>
      </c>
      <c r="B1489" t="s">
        <v>173</v>
      </c>
      <c r="C1489">
        <v>2001</v>
      </c>
      <c r="D1489" s="130">
        <v>7.4000000999999997</v>
      </c>
      <c r="E1489" s="130">
        <v>0</v>
      </c>
      <c r="F1489" s="130">
        <v>45935.1</v>
      </c>
      <c r="G1489" s="130">
        <v>-4.549E-4</v>
      </c>
      <c r="H1489" s="16">
        <v>150000000</v>
      </c>
      <c r="I1489">
        <v>8.4559000000000006E-3</v>
      </c>
    </row>
    <row r="1490" spans="1:9" x14ac:dyDescent="0.25">
      <c r="A1490" t="s">
        <v>442</v>
      </c>
      <c r="B1490" t="s">
        <v>173</v>
      </c>
      <c r="C1490">
        <v>2002</v>
      </c>
      <c r="D1490" s="130">
        <v>7.1999997999999996</v>
      </c>
      <c r="E1490" s="130">
        <v>-0.20000029999999999</v>
      </c>
      <c r="F1490" s="130">
        <v>46319.199999999997</v>
      </c>
      <c r="G1490" s="130">
        <v>8.3274999999999998E-3</v>
      </c>
      <c r="H1490" s="16">
        <v>150000000</v>
      </c>
      <c r="I1490">
        <v>6.1735000000000002E-3</v>
      </c>
    </row>
    <row r="1491" spans="1:9" x14ac:dyDescent="0.25">
      <c r="A1491" t="s">
        <v>442</v>
      </c>
      <c r="B1491" t="s">
        <v>173</v>
      </c>
      <c r="C1491">
        <v>2003</v>
      </c>
      <c r="D1491" s="130">
        <v>7.5999999000000003</v>
      </c>
      <c r="E1491" s="130">
        <v>0.40000010000000003</v>
      </c>
      <c r="F1491" s="130">
        <v>47204.5</v>
      </c>
      <c r="G1491" s="130">
        <v>1.8932299999999999E-2</v>
      </c>
      <c r="H1491" s="16">
        <v>150000000</v>
      </c>
      <c r="I1491">
        <v>5.4494000000000001E-3</v>
      </c>
    </row>
    <row r="1492" spans="1:9" x14ac:dyDescent="0.25">
      <c r="A1492" t="s">
        <v>442</v>
      </c>
      <c r="B1492" t="s">
        <v>173</v>
      </c>
      <c r="C1492">
        <v>2004</v>
      </c>
      <c r="D1492" s="130">
        <v>7.5999999000000003</v>
      </c>
      <c r="E1492" s="130">
        <v>0</v>
      </c>
      <c r="F1492" s="130">
        <v>48546</v>
      </c>
      <c r="G1492" s="130">
        <v>2.8021799999999999E-2</v>
      </c>
      <c r="H1492" s="16">
        <v>150000000</v>
      </c>
      <c r="I1492">
        <v>7.9958000000000008E-3</v>
      </c>
    </row>
    <row r="1493" spans="1:9" x14ac:dyDescent="0.25">
      <c r="A1493" t="s">
        <v>442</v>
      </c>
      <c r="B1493" t="s">
        <v>173</v>
      </c>
      <c r="C1493">
        <v>2005</v>
      </c>
      <c r="D1493" s="130">
        <v>7.5</v>
      </c>
      <c r="E1493" s="130">
        <v>-9.9999900000000003E-2</v>
      </c>
      <c r="F1493" s="130">
        <v>49712.5</v>
      </c>
      <c r="G1493" s="130">
        <v>2.37465E-2</v>
      </c>
      <c r="H1493" s="16">
        <v>150000000</v>
      </c>
      <c r="I1493">
        <v>1.5207200000000001E-2</v>
      </c>
    </row>
    <row r="1494" spans="1:9" x14ac:dyDescent="0.25">
      <c r="A1494" t="s">
        <v>442</v>
      </c>
      <c r="B1494" t="s">
        <v>173</v>
      </c>
      <c r="C1494">
        <v>2006</v>
      </c>
      <c r="D1494" s="130">
        <v>7.4000000999999997</v>
      </c>
      <c r="E1494" s="130">
        <v>-9.9999900000000003E-2</v>
      </c>
      <c r="F1494" s="130">
        <v>50548.4</v>
      </c>
      <c r="G1494" s="130">
        <v>1.66731E-2</v>
      </c>
      <c r="H1494" s="16">
        <v>150000000</v>
      </c>
      <c r="I1494">
        <v>1.5760099999999999E-2</v>
      </c>
    </row>
    <row r="1495" spans="1:9" x14ac:dyDescent="0.25">
      <c r="A1495" t="s">
        <v>442</v>
      </c>
      <c r="B1495" t="s">
        <v>173</v>
      </c>
      <c r="C1495">
        <v>2007</v>
      </c>
      <c r="D1495" s="130">
        <v>7.1999997999999996</v>
      </c>
      <c r="E1495" s="130">
        <v>-0.20000029999999999</v>
      </c>
      <c r="F1495" s="130">
        <v>50966.1</v>
      </c>
      <c r="G1495" s="130">
        <v>8.2302E-3</v>
      </c>
      <c r="H1495" s="16">
        <v>160000000</v>
      </c>
      <c r="I1495">
        <v>1.0011900000000001E-2</v>
      </c>
    </row>
    <row r="1496" spans="1:9" x14ac:dyDescent="0.25">
      <c r="A1496" t="s">
        <v>442</v>
      </c>
      <c r="B1496" t="s">
        <v>173</v>
      </c>
      <c r="C1496">
        <v>2008</v>
      </c>
      <c r="D1496" s="130">
        <v>7</v>
      </c>
      <c r="E1496" s="130">
        <v>-0.19999980000000001</v>
      </c>
      <c r="F1496" s="130">
        <v>50339.7</v>
      </c>
      <c r="G1496" s="130">
        <v>-1.23663E-2</v>
      </c>
      <c r="H1496" s="16">
        <v>160000000</v>
      </c>
      <c r="I1496">
        <v>1.3652600000000001E-2</v>
      </c>
    </row>
    <row r="1497" spans="1:9" x14ac:dyDescent="0.25">
      <c r="A1497" t="s">
        <v>442</v>
      </c>
      <c r="B1497" t="s">
        <v>173</v>
      </c>
      <c r="C1497">
        <v>2009</v>
      </c>
      <c r="D1497" s="130">
        <v>7.0999999000000003</v>
      </c>
      <c r="E1497" s="130">
        <v>9.9999900000000003E-2</v>
      </c>
      <c r="F1497" s="130">
        <v>48501.9</v>
      </c>
      <c r="G1497" s="130">
        <v>-3.7190399999999998E-2</v>
      </c>
      <c r="H1497" s="16">
        <v>160000000</v>
      </c>
      <c r="I1497">
        <v>1.2897E-3</v>
      </c>
    </row>
    <row r="1498" spans="1:9" x14ac:dyDescent="0.25">
      <c r="A1498" t="s">
        <v>442</v>
      </c>
      <c r="B1498" t="s">
        <v>173</v>
      </c>
      <c r="C1498">
        <v>2010</v>
      </c>
      <c r="D1498" s="130">
        <v>7</v>
      </c>
      <c r="E1498" s="130">
        <v>-9.9999900000000003E-2</v>
      </c>
      <c r="F1498" s="130">
        <v>49307.4</v>
      </c>
      <c r="G1498" s="130">
        <v>1.6469999999999999E-2</v>
      </c>
      <c r="H1498" s="16">
        <v>160000000</v>
      </c>
      <c r="I1498">
        <v>-3.4072E-3</v>
      </c>
    </row>
    <row r="1499" spans="1:9" x14ac:dyDescent="0.25">
      <c r="A1499" t="s">
        <v>442</v>
      </c>
      <c r="B1499" t="s">
        <v>173</v>
      </c>
      <c r="C1499">
        <v>2011</v>
      </c>
      <c r="D1499" s="130">
        <v>6.8000002000000004</v>
      </c>
      <c r="E1499" s="130">
        <v>-0.19999980000000001</v>
      </c>
      <c r="F1499" s="130">
        <v>49853.7</v>
      </c>
      <c r="G1499" s="130">
        <v>1.10188E-2</v>
      </c>
      <c r="H1499" s="16">
        <v>160000000</v>
      </c>
      <c r="I1499">
        <v>8.9240000000000001E-4</v>
      </c>
    </row>
    <row r="1500" spans="1:9" x14ac:dyDescent="0.25">
      <c r="A1500" t="s">
        <v>442</v>
      </c>
      <c r="B1500" t="s">
        <v>173</v>
      </c>
      <c r="C1500">
        <v>2012</v>
      </c>
      <c r="F1500" s="130">
        <v>50859.4</v>
      </c>
      <c r="G1500" s="130">
        <v>1.9972799999999999E-2</v>
      </c>
      <c r="H1500" s="16">
        <v>160000000</v>
      </c>
      <c r="I1500">
        <v>8.7351000000000008E-3</v>
      </c>
    </row>
    <row r="1501" spans="1:9" x14ac:dyDescent="0.25">
      <c r="A1501" t="s">
        <v>442</v>
      </c>
      <c r="B1501" t="s">
        <v>173</v>
      </c>
      <c r="C1501">
        <v>2013</v>
      </c>
    </row>
    <row r="1502" spans="1:9" x14ac:dyDescent="0.25">
      <c r="A1502" t="s">
        <v>446</v>
      </c>
      <c r="B1502" t="s">
        <v>445</v>
      </c>
      <c r="C1502">
        <v>1994</v>
      </c>
      <c r="D1502" s="130">
        <v>38.299999</v>
      </c>
      <c r="F1502" s="130">
        <v>15124.1</v>
      </c>
      <c r="H1502" s="16">
        <v>8100000</v>
      </c>
    </row>
    <row r="1503" spans="1:9" x14ac:dyDescent="0.25">
      <c r="A1503" t="s">
        <v>446</v>
      </c>
      <c r="B1503" t="s">
        <v>445</v>
      </c>
      <c r="C1503">
        <v>1995</v>
      </c>
      <c r="D1503" s="130">
        <v>37.900002000000001</v>
      </c>
      <c r="E1503" s="130">
        <v>-0.39999770000000001</v>
      </c>
      <c r="F1503" s="130">
        <v>15390.4</v>
      </c>
      <c r="G1503" s="130">
        <v>1.7458000000000001E-2</v>
      </c>
      <c r="H1503" s="16">
        <v>8700000</v>
      </c>
      <c r="I1503">
        <v>7.0349599999999998E-2</v>
      </c>
    </row>
    <row r="1504" spans="1:9" x14ac:dyDescent="0.25">
      <c r="A1504" t="s">
        <v>446</v>
      </c>
      <c r="B1504" t="s">
        <v>445</v>
      </c>
      <c r="C1504">
        <v>1996</v>
      </c>
      <c r="D1504" s="130">
        <v>38.700001</v>
      </c>
      <c r="E1504" s="130">
        <v>0.79999920000000002</v>
      </c>
      <c r="F1504" s="130">
        <v>15043.6</v>
      </c>
      <c r="G1504" s="130">
        <v>-2.27966E-2</v>
      </c>
      <c r="H1504" s="16">
        <v>9200000</v>
      </c>
      <c r="I1504">
        <v>5.8669399999999997E-2</v>
      </c>
    </row>
    <row r="1505" spans="1:9" x14ac:dyDescent="0.25">
      <c r="A1505" t="s">
        <v>446</v>
      </c>
      <c r="B1505" t="s">
        <v>445</v>
      </c>
      <c r="C1505">
        <v>1997</v>
      </c>
      <c r="D1505" s="130">
        <v>36.099997999999999</v>
      </c>
      <c r="E1505" s="130">
        <v>-2.6000019999999999</v>
      </c>
      <c r="F1505" s="130">
        <v>15679.9</v>
      </c>
      <c r="G1505" s="130">
        <v>4.1429500000000001E-2</v>
      </c>
      <c r="H1505" s="16">
        <v>9600000</v>
      </c>
      <c r="I1505">
        <v>5.5053199999999997E-2</v>
      </c>
    </row>
    <row r="1506" spans="1:9" x14ac:dyDescent="0.25">
      <c r="A1506" t="s">
        <v>446</v>
      </c>
      <c r="B1506" t="s">
        <v>445</v>
      </c>
      <c r="C1506">
        <v>1998</v>
      </c>
      <c r="D1506" s="130">
        <v>39.599997999999999</v>
      </c>
      <c r="E1506" s="130">
        <v>3.5</v>
      </c>
      <c r="F1506" s="130">
        <v>15416.3</v>
      </c>
      <c r="G1506" s="130">
        <v>-1.6956300000000001E-2</v>
      </c>
      <c r="H1506" s="16">
        <v>10000000</v>
      </c>
      <c r="I1506">
        <v>5.1097499999999997E-2</v>
      </c>
    </row>
    <row r="1507" spans="1:9" x14ac:dyDescent="0.25">
      <c r="A1507" t="s">
        <v>446</v>
      </c>
      <c r="B1507" t="s">
        <v>445</v>
      </c>
      <c r="C1507">
        <v>1999</v>
      </c>
      <c r="D1507" s="130">
        <v>40.799999</v>
      </c>
      <c r="E1507" s="130">
        <v>1.2000010000000001</v>
      </c>
      <c r="F1507" s="130">
        <v>14216</v>
      </c>
      <c r="G1507" s="130">
        <v>-8.1057500000000005E-2</v>
      </c>
      <c r="H1507" s="16">
        <v>10000000</v>
      </c>
      <c r="I1507">
        <v>4.4907700000000002E-2</v>
      </c>
    </row>
    <row r="1508" spans="1:9" x14ac:dyDescent="0.25">
      <c r="A1508" t="s">
        <v>446</v>
      </c>
      <c r="B1508" t="s">
        <v>445</v>
      </c>
      <c r="C1508">
        <v>2000</v>
      </c>
      <c r="D1508" s="130">
        <v>42</v>
      </c>
      <c r="E1508" s="130">
        <v>1.2000010000000001</v>
      </c>
      <c r="F1508" s="130">
        <v>14460.8</v>
      </c>
      <c r="G1508" s="130">
        <v>1.7073600000000001E-2</v>
      </c>
      <c r="H1508" s="16">
        <v>11000000</v>
      </c>
      <c r="I1508">
        <v>2.42759E-2</v>
      </c>
    </row>
    <row r="1509" spans="1:9" x14ac:dyDescent="0.25">
      <c r="A1509" t="s">
        <v>446</v>
      </c>
      <c r="B1509" t="s">
        <v>445</v>
      </c>
      <c r="C1509">
        <v>2001</v>
      </c>
      <c r="D1509" s="130">
        <v>41</v>
      </c>
      <c r="E1509" s="130">
        <v>-1</v>
      </c>
      <c r="F1509" s="130">
        <v>14673.3</v>
      </c>
      <c r="G1509" s="130">
        <v>1.45912E-2</v>
      </c>
      <c r="H1509" s="16">
        <v>11000000</v>
      </c>
      <c r="I1509">
        <v>7.5419399999999998E-2</v>
      </c>
    </row>
    <row r="1510" spans="1:9" x14ac:dyDescent="0.25">
      <c r="A1510" t="s">
        <v>446</v>
      </c>
      <c r="B1510" t="s">
        <v>445</v>
      </c>
      <c r="C1510">
        <v>2002</v>
      </c>
      <c r="D1510" s="130">
        <v>39.900002000000001</v>
      </c>
      <c r="E1510" s="130">
        <v>-1.099998</v>
      </c>
      <c r="F1510" s="130">
        <v>13129.4</v>
      </c>
      <c r="G1510" s="130">
        <v>-0.1111784</v>
      </c>
      <c r="H1510" s="16">
        <v>12000000</v>
      </c>
      <c r="I1510">
        <v>6.7611000000000004E-2</v>
      </c>
    </row>
    <row r="1511" spans="1:9" x14ac:dyDescent="0.25">
      <c r="A1511" t="s">
        <v>446</v>
      </c>
      <c r="B1511" t="s">
        <v>445</v>
      </c>
      <c r="C1511">
        <v>2003</v>
      </c>
      <c r="D1511" s="130">
        <v>40.400002000000001</v>
      </c>
      <c r="E1511" s="130">
        <v>0.5</v>
      </c>
      <c r="F1511" s="130">
        <v>11893.5</v>
      </c>
      <c r="G1511" s="130">
        <v>-9.8858799999999997E-2</v>
      </c>
      <c r="H1511" s="16">
        <v>12000000</v>
      </c>
      <c r="I1511">
        <v>1.7968399999999999E-2</v>
      </c>
    </row>
    <row r="1512" spans="1:9" x14ac:dyDescent="0.25">
      <c r="A1512" t="s">
        <v>446</v>
      </c>
      <c r="B1512" t="s">
        <v>445</v>
      </c>
      <c r="C1512">
        <v>2004</v>
      </c>
      <c r="D1512" s="130">
        <v>37.900002000000001</v>
      </c>
      <c r="E1512" s="130">
        <v>-2.5</v>
      </c>
      <c r="F1512" s="130">
        <v>13819.8</v>
      </c>
      <c r="G1512" s="130">
        <v>0.1501093</v>
      </c>
      <c r="H1512" s="16">
        <v>12000000</v>
      </c>
      <c r="I1512">
        <v>1.91915E-2</v>
      </c>
    </row>
    <row r="1513" spans="1:9" x14ac:dyDescent="0.25">
      <c r="A1513" t="s">
        <v>446</v>
      </c>
      <c r="B1513" t="s">
        <v>445</v>
      </c>
      <c r="C1513">
        <v>2005</v>
      </c>
      <c r="D1513" s="130">
        <v>36.099997999999999</v>
      </c>
      <c r="E1513" s="130">
        <v>-1.800003</v>
      </c>
      <c r="F1513" s="130">
        <v>14980.7</v>
      </c>
      <c r="G1513" s="130">
        <v>8.0660800000000005E-2</v>
      </c>
      <c r="H1513" s="16">
        <v>12000000</v>
      </c>
      <c r="I1513">
        <v>1.5832700000000002E-2</v>
      </c>
    </row>
    <row r="1514" spans="1:9" x14ac:dyDescent="0.25">
      <c r="A1514" t="s">
        <v>446</v>
      </c>
      <c r="B1514" t="s">
        <v>445</v>
      </c>
      <c r="C1514">
        <v>2006</v>
      </c>
      <c r="D1514" s="130">
        <v>34.900002000000001</v>
      </c>
      <c r="E1514" s="130">
        <v>-1.199997</v>
      </c>
      <c r="F1514" s="130">
        <v>16178.2</v>
      </c>
      <c r="G1514" s="130">
        <v>7.6898599999999998E-2</v>
      </c>
      <c r="H1514" s="16">
        <v>12000000</v>
      </c>
      <c r="I1514">
        <v>1.4543800000000001E-2</v>
      </c>
    </row>
    <row r="1515" spans="1:9" x14ac:dyDescent="0.25">
      <c r="A1515" t="s">
        <v>446</v>
      </c>
      <c r="B1515" t="s">
        <v>445</v>
      </c>
      <c r="C1515">
        <v>2007</v>
      </c>
      <c r="D1515" s="130">
        <v>34</v>
      </c>
      <c r="E1515" s="130">
        <v>-0.90000150000000001</v>
      </c>
      <c r="F1515" s="130">
        <v>17298.5</v>
      </c>
      <c r="G1515" s="130">
        <v>6.6955600000000004E-2</v>
      </c>
      <c r="H1515" s="16">
        <v>12000000</v>
      </c>
      <c r="I1515">
        <v>2.0377599999999999E-2</v>
      </c>
    </row>
    <row r="1516" spans="1:9" x14ac:dyDescent="0.25">
      <c r="A1516" t="s">
        <v>446</v>
      </c>
      <c r="B1516" t="s">
        <v>445</v>
      </c>
      <c r="C1516">
        <v>2008</v>
      </c>
      <c r="D1516" s="130">
        <v>34.599997999999999</v>
      </c>
      <c r="E1516" s="130">
        <v>0.59999849999999999</v>
      </c>
      <c r="F1516" s="130">
        <v>17910.7</v>
      </c>
      <c r="G1516" s="130">
        <v>3.4780499999999999E-2</v>
      </c>
      <c r="H1516" s="16">
        <v>13000000</v>
      </c>
      <c r="I1516">
        <v>4.1201500000000002E-2</v>
      </c>
    </row>
    <row r="1517" spans="1:9" x14ac:dyDescent="0.25">
      <c r="A1517" t="s">
        <v>446</v>
      </c>
      <c r="B1517" t="s">
        <v>445</v>
      </c>
      <c r="C1517">
        <v>2009</v>
      </c>
      <c r="D1517" s="130">
        <v>41.599997999999999</v>
      </c>
      <c r="E1517" s="130">
        <v>7</v>
      </c>
      <c r="F1517" s="130">
        <v>17056.5</v>
      </c>
      <c r="G1517" s="130">
        <v>-4.8868200000000001E-2</v>
      </c>
      <c r="H1517" s="16">
        <v>13000000</v>
      </c>
      <c r="I1517">
        <v>3.1437800000000002E-2</v>
      </c>
    </row>
    <row r="1518" spans="1:9" x14ac:dyDescent="0.25">
      <c r="A1518" t="s">
        <v>446</v>
      </c>
      <c r="B1518" t="s">
        <v>445</v>
      </c>
      <c r="C1518">
        <v>2010</v>
      </c>
      <c r="D1518" s="130">
        <v>43</v>
      </c>
      <c r="E1518" s="130">
        <v>1.400002</v>
      </c>
      <c r="F1518" s="130">
        <v>16536.3</v>
      </c>
      <c r="G1518" s="130">
        <v>-3.0973400000000002E-2</v>
      </c>
      <c r="H1518" s="16">
        <v>13000000</v>
      </c>
      <c r="I1518">
        <v>2.6139599999999999E-2</v>
      </c>
    </row>
    <row r="1519" spans="1:9" x14ac:dyDescent="0.25">
      <c r="A1519" t="s">
        <v>446</v>
      </c>
      <c r="B1519" t="s">
        <v>445</v>
      </c>
      <c r="C1519">
        <v>2011</v>
      </c>
      <c r="D1519" s="130">
        <v>42.799999</v>
      </c>
      <c r="E1519" s="130">
        <v>-0.20000080000000001</v>
      </c>
      <c r="F1519" s="130">
        <v>16959.8</v>
      </c>
      <c r="G1519" s="130">
        <v>2.5291399999999999E-2</v>
      </c>
      <c r="H1519" s="16">
        <v>14000000</v>
      </c>
      <c r="I1519">
        <v>3.3358699999999998E-2</v>
      </c>
    </row>
    <row r="1520" spans="1:9" x14ac:dyDescent="0.25">
      <c r="A1520" t="s">
        <v>446</v>
      </c>
      <c r="B1520" t="s">
        <v>445</v>
      </c>
      <c r="C1520">
        <v>2012</v>
      </c>
      <c r="D1520" s="130">
        <v>41.599997999999999</v>
      </c>
      <c r="E1520" s="130">
        <v>-1.2000010000000001</v>
      </c>
      <c r="F1520" s="130">
        <v>17642.400000000001</v>
      </c>
      <c r="G1520" s="130">
        <v>3.9456400000000003E-2</v>
      </c>
      <c r="H1520" s="16">
        <v>14000000</v>
      </c>
      <c r="I1520">
        <v>3.5776299999999997E-2</v>
      </c>
    </row>
    <row r="1521" spans="1:3" x14ac:dyDescent="0.25">
      <c r="A1521" t="s">
        <v>446</v>
      </c>
      <c r="B1521" t="s">
        <v>445</v>
      </c>
      <c r="C1521">
        <v>2013</v>
      </c>
    </row>
  </sheetData>
  <customSheetViews>
    <customSheetView guid="{BF4B7214-A780-4E29-8376-D0EF10A37853}" topLeftCell="A1479">
      <selection activeCell="C196" sqref="C196"/>
      <pageMargins left="0.7" right="0.7" top="0.75" bottom="0.75" header="0.3" footer="0.3"/>
      <pageSetup orientation="portrait" horizontalDpi="1200" verticalDpi="1200" r:id="rId1"/>
    </customSheetView>
  </customSheetViews>
  <pageMargins left="0.7" right="0.7" top="0.75" bottom="0.75" header="0.3" footer="0.3"/>
  <pageSetup orientation="portrait" horizontalDpi="1200" verticalDpi="12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AE97"/>
  <sheetViews>
    <sheetView topLeftCell="AB1" zoomScale="90" zoomScaleNormal="90" workbookViewId="0">
      <selection activeCell="Y44" sqref="Y44"/>
    </sheetView>
  </sheetViews>
  <sheetFormatPr defaultRowHeight="12.75" x14ac:dyDescent="0.2"/>
  <cols>
    <col min="1" max="1" width="5.85546875" style="74" hidden="1" customWidth="1"/>
    <col min="2" max="2" width="8.28515625" style="120" hidden="1" customWidth="1"/>
    <col min="3" max="3" width="9.7109375" style="120" hidden="1" customWidth="1"/>
    <col min="4" max="5" width="9.42578125" style="120" hidden="1" customWidth="1"/>
    <col min="6" max="6" width="10.28515625" style="120" hidden="1" customWidth="1"/>
    <col min="7" max="7" width="8.7109375" style="120" hidden="1" customWidth="1"/>
    <col min="8" max="8" width="10.28515625" style="119" hidden="1" customWidth="1"/>
    <col min="9" max="9" width="11.140625" style="120" hidden="1" customWidth="1"/>
    <col min="10" max="10" width="12.42578125" style="120" hidden="1" customWidth="1"/>
    <col min="11" max="11" width="12.28515625" style="120" hidden="1" customWidth="1"/>
    <col min="12" max="12" width="18.85546875" style="119" hidden="1" customWidth="1"/>
    <col min="13" max="13" width="28.85546875" style="119" hidden="1" customWidth="1"/>
    <col min="14" max="14" width="29.28515625" style="119" hidden="1" customWidth="1"/>
    <col min="15" max="15" width="32.140625" style="119" hidden="1" customWidth="1"/>
    <col min="16" max="16" width="47.140625" style="74" hidden="1" customWidth="1"/>
    <col min="17" max="21" width="9.140625" style="74" hidden="1" customWidth="1"/>
    <col min="22" max="22" width="35.7109375" style="74" hidden="1" customWidth="1"/>
    <col min="23" max="23" width="18.7109375" style="74" hidden="1" customWidth="1"/>
    <col min="24" max="24" width="24.85546875" style="74" hidden="1" customWidth="1"/>
    <col min="25" max="25" width="31" style="74" hidden="1" customWidth="1"/>
    <col min="26" max="26" width="12.85546875" style="74" hidden="1" customWidth="1"/>
    <col min="27" max="27" width="18.7109375" style="74" hidden="1" customWidth="1"/>
    <col min="28" max="28" width="18.7109375" style="74" customWidth="1"/>
    <col min="29" max="30" width="32.5703125" style="74" customWidth="1"/>
    <col min="31" max="31" width="41.7109375" style="74" customWidth="1"/>
    <col min="32" max="257" width="9.140625" style="74"/>
    <col min="258" max="258" width="5.85546875" style="74" customWidth="1"/>
    <col min="259" max="259" width="8.28515625" style="74" customWidth="1"/>
    <col min="260" max="260" width="9.7109375" style="74" customWidth="1"/>
    <col min="261" max="262" width="9.42578125" style="74" customWidth="1"/>
    <col min="263" max="263" width="10.28515625" style="74" customWidth="1"/>
    <col min="264" max="264" width="8.7109375" style="74" customWidth="1"/>
    <col min="265" max="265" width="10.28515625" style="74" customWidth="1"/>
    <col min="266" max="266" width="11.140625" style="74" customWidth="1"/>
    <col min="267" max="267" width="12.42578125" style="74" customWidth="1"/>
    <col min="268" max="268" width="12.28515625" style="74" customWidth="1"/>
    <col min="269" max="269" width="18.85546875" style="74" customWidth="1"/>
    <col min="270" max="270" width="28.85546875" style="74" customWidth="1"/>
    <col min="271" max="271" width="29.28515625" style="74" customWidth="1"/>
    <col min="272" max="272" width="32.140625" style="74" customWidth="1"/>
    <col min="273" max="273" width="47.140625" style="74" customWidth="1"/>
    <col min="274" max="278" width="9.140625" style="74"/>
    <col min="279" max="279" width="35.7109375" style="74" customWidth="1"/>
    <col min="280" max="280" width="18.7109375" style="74" customWidth="1"/>
    <col min="281" max="281" width="24.85546875" style="74" customWidth="1"/>
    <col min="282" max="282" width="31" style="74" customWidth="1"/>
    <col min="283" max="283" width="12.85546875" style="74" customWidth="1"/>
    <col min="284" max="284" width="18.7109375" style="74" customWidth="1"/>
    <col min="285" max="285" width="24.85546875" style="74" customWidth="1"/>
    <col min="286" max="286" width="31" style="74" customWidth="1"/>
    <col min="287" max="287" width="41.7109375" style="74" customWidth="1"/>
    <col min="288" max="513" width="9.140625" style="74"/>
    <col min="514" max="514" width="5.85546875" style="74" customWidth="1"/>
    <col min="515" max="515" width="8.28515625" style="74" customWidth="1"/>
    <col min="516" max="516" width="9.7109375" style="74" customWidth="1"/>
    <col min="517" max="518" width="9.42578125" style="74" customWidth="1"/>
    <col min="519" max="519" width="10.28515625" style="74" customWidth="1"/>
    <col min="520" max="520" width="8.7109375" style="74" customWidth="1"/>
    <col min="521" max="521" width="10.28515625" style="74" customWidth="1"/>
    <col min="522" max="522" width="11.140625" style="74" customWidth="1"/>
    <col min="523" max="523" width="12.42578125" style="74" customWidth="1"/>
    <col min="524" max="524" width="12.28515625" style="74" customWidth="1"/>
    <col min="525" max="525" width="18.85546875" style="74" customWidth="1"/>
    <col min="526" max="526" width="28.85546875" style="74" customWidth="1"/>
    <col min="527" max="527" width="29.28515625" style="74" customWidth="1"/>
    <col min="528" max="528" width="32.140625" style="74" customWidth="1"/>
    <col min="529" max="529" width="47.140625" style="74" customWidth="1"/>
    <col min="530" max="534" width="9.140625" style="74"/>
    <col min="535" max="535" width="35.7109375" style="74" customWidth="1"/>
    <col min="536" max="536" width="18.7109375" style="74" customWidth="1"/>
    <col min="537" max="537" width="24.85546875" style="74" customWidth="1"/>
    <col min="538" max="538" width="31" style="74" customWidth="1"/>
    <col min="539" max="539" width="12.85546875" style="74" customWidth="1"/>
    <col min="540" max="540" width="18.7109375" style="74" customWidth="1"/>
    <col min="541" max="541" width="24.85546875" style="74" customWidth="1"/>
    <col min="542" max="542" width="31" style="74" customWidth="1"/>
    <col min="543" max="543" width="41.7109375" style="74" customWidth="1"/>
    <col min="544" max="769" width="9.140625" style="74"/>
    <col min="770" max="770" width="5.85546875" style="74" customWidth="1"/>
    <col min="771" max="771" width="8.28515625" style="74" customWidth="1"/>
    <col min="772" max="772" width="9.7109375" style="74" customWidth="1"/>
    <col min="773" max="774" width="9.42578125" style="74" customWidth="1"/>
    <col min="775" max="775" width="10.28515625" style="74" customWidth="1"/>
    <col min="776" max="776" width="8.7109375" style="74" customWidth="1"/>
    <col min="777" max="777" width="10.28515625" style="74" customWidth="1"/>
    <col min="778" max="778" width="11.140625" style="74" customWidth="1"/>
    <col min="779" max="779" width="12.42578125" style="74" customWidth="1"/>
    <col min="780" max="780" width="12.28515625" style="74" customWidth="1"/>
    <col min="781" max="781" width="18.85546875" style="74" customWidth="1"/>
    <col min="782" max="782" width="28.85546875" style="74" customWidth="1"/>
    <col min="783" max="783" width="29.28515625" style="74" customWidth="1"/>
    <col min="784" max="784" width="32.140625" style="74" customWidth="1"/>
    <col min="785" max="785" width="47.140625" style="74" customWidth="1"/>
    <col min="786" max="790" width="9.140625" style="74"/>
    <col min="791" max="791" width="35.7109375" style="74" customWidth="1"/>
    <col min="792" max="792" width="18.7109375" style="74" customWidth="1"/>
    <col min="793" max="793" width="24.85546875" style="74" customWidth="1"/>
    <col min="794" max="794" width="31" style="74" customWidth="1"/>
    <col min="795" max="795" width="12.85546875" style="74" customWidth="1"/>
    <col min="796" max="796" width="18.7109375" style="74" customWidth="1"/>
    <col min="797" max="797" width="24.85546875" style="74" customWidth="1"/>
    <col min="798" max="798" width="31" style="74" customWidth="1"/>
    <col min="799" max="799" width="41.7109375" style="74" customWidth="1"/>
    <col min="800" max="1025" width="9.140625" style="74"/>
    <col min="1026" max="1026" width="5.85546875" style="74" customWidth="1"/>
    <col min="1027" max="1027" width="8.28515625" style="74" customWidth="1"/>
    <col min="1028" max="1028" width="9.7109375" style="74" customWidth="1"/>
    <col min="1029" max="1030" width="9.42578125" style="74" customWidth="1"/>
    <col min="1031" max="1031" width="10.28515625" style="74" customWidth="1"/>
    <col min="1032" max="1032" width="8.7109375" style="74" customWidth="1"/>
    <col min="1033" max="1033" width="10.28515625" style="74" customWidth="1"/>
    <col min="1034" max="1034" width="11.140625" style="74" customWidth="1"/>
    <col min="1035" max="1035" width="12.42578125" style="74" customWidth="1"/>
    <col min="1036" max="1036" width="12.28515625" style="74" customWidth="1"/>
    <col min="1037" max="1037" width="18.85546875" style="74" customWidth="1"/>
    <col min="1038" max="1038" width="28.85546875" style="74" customWidth="1"/>
    <col min="1039" max="1039" width="29.28515625" style="74" customWidth="1"/>
    <col min="1040" max="1040" width="32.140625" style="74" customWidth="1"/>
    <col min="1041" max="1041" width="47.140625" style="74" customWidth="1"/>
    <col min="1042" max="1046" width="9.140625" style="74"/>
    <col min="1047" max="1047" width="35.7109375" style="74" customWidth="1"/>
    <col min="1048" max="1048" width="18.7109375" style="74" customWidth="1"/>
    <col min="1049" max="1049" width="24.85546875" style="74" customWidth="1"/>
    <col min="1050" max="1050" width="31" style="74" customWidth="1"/>
    <col min="1051" max="1051" width="12.85546875" style="74" customWidth="1"/>
    <col min="1052" max="1052" width="18.7109375" style="74" customWidth="1"/>
    <col min="1053" max="1053" width="24.85546875" style="74" customWidth="1"/>
    <col min="1054" max="1054" width="31" style="74" customWidth="1"/>
    <col min="1055" max="1055" width="41.7109375" style="74" customWidth="1"/>
    <col min="1056" max="1281" width="9.140625" style="74"/>
    <col min="1282" max="1282" width="5.85546875" style="74" customWidth="1"/>
    <col min="1283" max="1283" width="8.28515625" style="74" customWidth="1"/>
    <col min="1284" max="1284" width="9.7109375" style="74" customWidth="1"/>
    <col min="1285" max="1286" width="9.42578125" style="74" customWidth="1"/>
    <col min="1287" max="1287" width="10.28515625" style="74" customWidth="1"/>
    <col min="1288" max="1288" width="8.7109375" style="74" customWidth="1"/>
    <col min="1289" max="1289" width="10.28515625" style="74" customWidth="1"/>
    <col min="1290" max="1290" width="11.140625" style="74" customWidth="1"/>
    <col min="1291" max="1291" width="12.42578125" style="74" customWidth="1"/>
    <col min="1292" max="1292" width="12.28515625" style="74" customWidth="1"/>
    <col min="1293" max="1293" width="18.85546875" style="74" customWidth="1"/>
    <col min="1294" max="1294" width="28.85546875" style="74" customWidth="1"/>
    <col min="1295" max="1295" width="29.28515625" style="74" customWidth="1"/>
    <col min="1296" max="1296" width="32.140625" style="74" customWidth="1"/>
    <col min="1297" max="1297" width="47.140625" style="74" customWidth="1"/>
    <col min="1298" max="1302" width="9.140625" style="74"/>
    <col min="1303" max="1303" width="35.7109375" style="74" customWidth="1"/>
    <col min="1304" max="1304" width="18.7109375" style="74" customWidth="1"/>
    <col min="1305" max="1305" width="24.85546875" style="74" customWidth="1"/>
    <col min="1306" max="1306" width="31" style="74" customWidth="1"/>
    <col min="1307" max="1307" width="12.85546875" style="74" customWidth="1"/>
    <col min="1308" max="1308" width="18.7109375" style="74" customWidth="1"/>
    <col min="1309" max="1309" width="24.85546875" style="74" customWidth="1"/>
    <col min="1310" max="1310" width="31" style="74" customWidth="1"/>
    <col min="1311" max="1311" width="41.7109375" style="74" customWidth="1"/>
    <col min="1312" max="1537" width="9.140625" style="74"/>
    <col min="1538" max="1538" width="5.85546875" style="74" customWidth="1"/>
    <col min="1539" max="1539" width="8.28515625" style="74" customWidth="1"/>
    <col min="1540" max="1540" width="9.7109375" style="74" customWidth="1"/>
    <col min="1541" max="1542" width="9.42578125" style="74" customWidth="1"/>
    <col min="1543" max="1543" width="10.28515625" style="74" customWidth="1"/>
    <col min="1544" max="1544" width="8.7109375" style="74" customWidth="1"/>
    <col min="1545" max="1545" width="10.28515625" style="74" customWidth="1"/>
    <col min="1546" max="1546" width="11.140625" style="74" customWidth="1"/>
    <col min="1547" max="1547" width="12.42578125" style="74" customWidth="1"/>
    <col min="1548" max="1548" width="12.28515625" style="74" customWidth="1"/>
    <col min="1549" max="1549" width="18.85546875" style="74" customWidth="1"/>
    <col min="1550" max="1550" width="28.85546875" style="74" customWidth="1"/>
    <col min="1551" max="1551" width="29.28515625" style="74" customWidth="1"/>
    <col min="1552" max="1552" width="32.140625" style="74" customWidth="1"/>
    <col min="1553" max="1553" width="47.140625" style="74" customWidth="1"/>
    <col min="1554" max="1558" width="9.140625" style="74"/>
    <col min="1559" max="1559" width="35.7109375" style="74" customWidth="1"/>
    <col min="1560" max="1560" width="18.7109375" style="74" customWidth="1"/>
    <col min="1561" max="1561" width="24.85546875" style="74" customWidth="1"/>
    <col min="1562" max="1562" width="31" style="74" customWidth="1"/>
    <col min="1563" max="1563" width="12.85546875" style="74" customWidth="1"/>
    <col min="1564" max="1564" width="18.7109375" style="74" customWidth="1"/>
    <col min="1565" max="1565" width="24.85546875" style="74" customWidth="1"/>
    <col min="1566" max="1566" width="31" style="74" customWidth="1"/>
    <col min="1567" max="1567" width="41.7109375" style="74" customWidth="1"/>
    <col min="1568" max="1793" width="9.140625" style="74"/>
    <col min="1794" max="1794" width="5.85546875" style="74" customWidth="1"/>
    <col min="1795" max="1795" width="8.28515625" style="74" customWidth="1"/>
    <col min="1796" max="1796" width="9.7109375" style="74" customWidth="1"/>
    <col min="1797" max="1798" width="9.42578125" style="74" customWidth="1"/>
    <col min="1799" max="1799" width="10.28515625" style="74" customWidth="1"/>
    <col min="1800" max="1800" width="8.7109375" style="74" customWidth="1"/>
    <col min="1801" max="1801" width="10.28515625" style="74" customWidth="1"/>
    <col min="1802" max="1802" width="11.140625" style="74" customWidth="1"/>
    <col min="1803" max="1803" width="12.42578125" style="74" customWidth="1"/>
    <col min="1804" max="1804" width="12.28515625" style="74" customWidth="1"/>
    <col min="1805" max="1805" width="18.85546875" style="74" customWidth="1"/>
    <col min="1806" max="1806" width="28.85546875" style="74" customWidth="1"/>
    <col min="1807" max="1807" width="29.28515625" style="74" customWidth="1"/>
    <col min="1808" max="1808" width="32.140625" style="74" customWidth="1"/>
    <col min="1809" max="1809" width="47.140625" style="74" customWidth="1"/>
    <col min="1810" max="1814" width="9.140625" style="74"/>
    <col min="1815" max="1815" width="35.7109375" style="74" customWidth="1"/>
    <col min="1816" max="1816" width="18.7109375" style="74" customWidth="1"/>
    <col min="1817" max="1817" width="24.85546875" style="74" customWidth="1"/>
    <col min="1818" max="1818" width="31" style="74" customWidth="1"/>
    <col min="1819" max="1819" width="12.85546875" style="74" customWidth="1"/>
    <col min="1820" max="1820" width="18.7109375" style="74" customWidth="1"/>
    <col min="1821" max="1821" width="24.85546875" style="74" customWidth="1"/>
    <col min="1822" max="1822" width="31" style="74" customWidth="1"/>
    <col min="1823" max="1823" width="41.7109375" style="74" customWidth="1"/>
    <col min="1824" max="2049" width="9.140625" style="74"/>
    <col min="2050" max="2050" width="5.85546875" style="74" customWidth="1"/>
    <col min="2051" max="2051" width="8.28515625" style="74" customWidth="1"/>
    <col min="2052" max="2052" width="9.7109375" style="74" customWidth="1"/>
    <col min="2053" max="2054" width="9.42578125" style="74" customWidth="1"/>
    <col min="2055" max="2055" width="10.28515625" style="74" customWidth="1"/>
    <col min="2056" max="2056" width="8.7109375" style="74" customWidth="1"/>
    <col min="2057" max="2057" width="10.28515625" style="74" customWidth="1"/>
    <col min="2058" max="2058" width="11.140625" style="74" customWidth="1"/>
    <col min="2059" max="2059" width="12.42578125" style="74" customWidth="1"/>
    <col min="2060" max="2060" width="12.28515625" style="74" customWidth="1"/>
    <col min="2061" max="2061" width="18.85546875" style="74" customWidth="1"/>
    <col min="2062" max="2062" width="28.85546875" style="74" customWidth="1"/>
    <col min="2063" max="2063" width="29.28515625" style="74" customWidth="1"/>
    <col min="2064" max="2064" width="32.140625" style="74" customWidth="1"/>
    <col min="2065" max="2065" width="47.140625" style="74" customWidth="1"/>
    <col min="2066" max="2070" width="9.140625" style="74"/>
    <col min="2071" max="2071" width="35.7109375" style="74" customWidth="1"/>
    <col min="2072" max="2072" width="18.7109375" style="74" customWidth="1"/>
    <col min="2073" max="2073" width="24.85546875" style="74" customWidth="1"/>
    <col min="2074" max="2074" width="31" style="74" customWidth="1"/>
    <col min="2075" max="2075" width="12.85546875" style="74" customWidth="1"/>
    <col min="2076" max="2076" width="18.7109375" style="74" customWidth="1"/>
    <col min="2077" max="2077" width="24.85546875" style="74" customWidth="1"/>
    <col min="2078" max="2078" width="31" style="74" customWidth="1"/>
    <col min="2079" max="2079" width="41.7109375" style="74" customWidth="1"/>
    <col min="2080" max="2305" width="9.140625" style="74"/>
    <col min="2306" max="2306" width="5.85546875" style="74" customWidth="1"/>
    <col min="2307" max="2307" width="8.28515625" style="74" customWidth="1"/>
    <col min="2308" max="2308" width="9.7109375" style="74" customWidth="1"/>
    <col min="2309" max="2310" width="9.42578125" style="74" customWidth="1"/>
    <col min="2311" max="2311" width="10.28515625" style="74" customWidth="1"/>
    <col min="2312" max="2312" width="8.7109375" style="74" customWidth="1"/>
    <col min="2313" max="2313" width="10.28515625" style="74" customWidth="1"/>
    <col min="2314" max="2314" width="11.140625" style="74" customWidth="1"/>
    <col min="2315" max="2315" width="12.42578125" style="74" customWidth="1"/>
    <col min="2316" max="2316" width="12.28515625" style="74" customWidth="1"/>
    <col min="2317" max="2317" width="18.85546875" style="74" customWidth="1"/>
    <col min="2318" max="2318" width="28.85546875" style="74" customWidth="1"/>
    <col min="2319" max="2319" width="29.28515625" style="74" customWidth="1"/>
    <col min="2320" max="2320" width="32.140625" style="74" customWidth="1"/>
    <col min="2321" max="2321" width="47.140625" style="74" customWidth="1"/>
    <col min="2322" max="2326" width="9.140625" style="74"/>
    <col min="2327" max="2327" width="35.7109375" style="74" customWidth="1"/>
    <col min="2328" max="2328" width="18.7109375" style="74" customWidth="1"/>
    <col min="2329" max="2329" width="24.85546875" style="74" customWidth="1"/>
    <col min="2330" max="2330" width="31" style="74" customWidth="1"/>
    <col min="2331" max="2331" width="12.85546875" style="74" customWidth="1"/>
    <col min="2332" max="2332" width="18.7109375" style="74" customWidth="1"/>
    <col min="2333" max="2333" width="24.85546875" style="74" customWidth="1"/>
    <col min="2334" max="2334" width="31" style="74" customWidth="1"/>
    <col min="2335" max="2335" width="41.7109375" style="74" customWidth="1"/>
    <col min="2336" max="2561" width="9.140625" style="74"/>
    <col min="2562" max="2562" width="5.85546875" style="74" customWidth="1"/>
    <col min="2563" max="2563" width="8.28515625" style="74" customWidth="1"/>
    <col min="2564" max="2564" width="9.7109375" style="74" customWidth="1"/>
    <col min="2565" max="2566" width="9.42578125" style="74" customWidth="1"/>
    <col min="2567" max="2567" width="10.28515625" style="74" customWidth="1"/>
    <col min="2568" max="2568" width="8.7109375" style="74" customWidth="1"/>
    <col min="2569" max="2569" width="10.28515625" style="74" customWidth="1"/>
    <col min="2570" max="2570" width="11.140625" style="74" customWidth="1"/>
    <col min="2571" max="2571" width="12.42578125" style="74" customWidth="1"/>
    <col min="2572" max="2572" width="12.28515625" style="74" customWidth="1"/>
    <col min="2573" max="2573" width="18.85546875" style="74" customWidth="1"/>
    <col min="2574" max="2574" width="28.85546875" style="74" customWidth="1"/>
    <col min="2575" max="2575" width="29.28515625" style="74" customWidth="1"/>
    <col min="2576" max="2576" width="32.140625" style="74" customWidth="1"/>
    <col min="2577" max="2577" width="47.140625" style="74" customWidth="1"/>
    <col min="2578" max="2582" width="9.140625" style="74"/>
    <col min="2583" max="2583" width="35.7109375" style="74" customWidth="1"/>
    <col min="2584" max="2584" width="18.7109375" style="74" customWidth="1"/>
    <col min="2585" max="2585" width="24.85546875" style="74" customWidth="1"/>
    <col min="2586" max="2586" width="31" style="74" customWidth="1"/>
    <col min="2587" max="2587" width="12.85546875" style="74" customWidth="1"/>
    <col min="2588" max="2588" width="18.7109375" style="74" customWidth="1"/>
    <col min="2589" max="2589" width="24.85546875" style="74" customWidth="1"/>
    <col min="2590" max="2590" width="31" style="74" customWidth="1"/>
    <col min="2591" max="2591" width="41.7109375" style="74" customWidth="1"/>
    <col min="2592" max="2817" width="9.140625" style="74"/>
    <col min="2818" max="2818" width="5.85546875" style="74" customWidth="1"/>
    <col min="2819" max="2819" width="8.28515625" style="74" customWidth="1"/>
    <col min="2820" max="2820" width="9.7109375" style="74" customWidth="1"/>
    <col min="2821" max="2822" width="9.42578125" style="74" customWidth="1"/>
    <col min="2823" max="2823" width="10.28515625" style="74" customWidth="1"/>
    <col min="2824" max="2824" width="8.7109375" style="74" customWidth="1"/>
    <col min="2825" max="2825" width="10.28515625" style="74" customWidth="1"/>
    <col min="2826" max="2826" width="11.140625" style="74" customWidth="1"/>
    <col min="2827" max="2827" width="12.42578125" style="74" customWidth="1"/>
    <col min="2828" max="2828" width="12.28515625" style="74" customWidth="1"/>
    <col min="2829" max="2829" width="18.85546875" style="74" customWidth="1"/>
    <col min="2830" max="2830" width="28.85546875" style="74" customWidth="1"/>
    <col min="2831" max="2831" width="29.28515625" style="74" customWidth="1"/>
    <col min="2832" max="2832" width="32.140625" style="74" customWidth="1"/>
    <col min="2833" max="2833" width="47.140625" style="74" customWidth="1"/>
    <col min="2834" max="2838" width="9.140625" style="74"/>
    <col min="2839" max="2839" width="35.7109375" style="74" customWidth="1"/>
    <col min="2840" max="2840" width="18.7109375" style="74" customWidth="1"/>
    <col min="2841" max="2841" width="24.85546875" style="74" customWidth="1"/>
    <col min="2842" max="2842" width="31" style="74" customWidth="1"/>
    <col min="2843" max="2843" width="12.85546875" style="74" customWidth="1"/>
    <col min="2844" max="2844" width="18.7109375" style="74" customWidth="1"/>
    <col min="2845" max="2845" width="24.85546875" style="74" customWidth="1"/>
    <col min="2846" max="2846" width="31" style="74" customWidth="1"/>
    <col min="2847" max="2847" width="41.7109375" style="74" customWidth="1"/>
    <col min="2848" max="3073" width="9.140625" style="74"/>
    <col min="3074" max="3074" width="5.85546875" style="74" customWidth="1"/>
    <col min="3075" max="3075" width="8.28515625" style="74" customWidth="1"/>
    <col min="3076" max="3076" width="9.7109375" style="74" customWidth="1"/>
    <col min="3077" max="3078" width="9.42578125" style="74" customWidth="1"/>
    <col min="3079" max="3079" width="10.28515625" style="74" customWidth="1"/>
    <col min="3080" max="3080" width="8.7109375" style="74" customWidth="1"/>
    <col min="3081" max="3081" width="10.28515625" style="74" customWidth="1"/>
    <col min="3082" max="3082" width="11.140625" style="74" customWidth="1"/>
    <col min="3083" max="3083" width="12.42578125" style="74" customWidth="1"/>
    <col min="3084" max="3084" width="12.28515625" style="74" customWidth="1"/>
    <col min="3085" max="3085" width="18.85546875" style="74" customWidth="1"/>
    <col min="3086" max="3086" width="28.85546875" style="74" customWidth="1"/>
    <col min="3087" max="3087" width="29.28515625" style="74" customWidth="1"/>
    <col min="3088" max="3088" width="32.140625" style="74" customWidth="1"/>
    <col min="3089" max="3089" width="47.140625" style="74" customWidth="1"/>
    <col min="3090" max="3094" width="9.140625" style="74"/>
    <col min="3095" max="3095" width="35.7109375" style="74" customWidth="1"/>
    <col min="3096" max="3096" width="18.7109375" style="74" customWidth="1"/>
    <col min="3097" max="3097" width="24.85546875" style="74" customWidth="1"/>
    <col min="3098" max="3098" width="31" style="74" customWidth="1"/>
    <col min="3099" max="3099" width="12.85546875" style="74" customWidth="1"/>
    <col min="3100" max="3100" width="18.7109375" style="74" customWidth="1"/>
    <col min="3101" max="3101" width="24.85546875" style="74" customWidth="1"/>
    <col min="3102" max="3102" width="31" style="74" customWidth="1"/>
    <col min="3103" max="3103" width="41.7109375" style="74" customWidth="1"/>
    <col min="3104" max="3329" width="9.140625" style="74"/>
    <col min="3330" max="3330" width="5.85546875" style="74" customWidth="1"/>
    <col min="3331" max="3331" width="8.28515625" style="74" customWidth="1"/>
    <col min="3332" max="3332" width="9.7109375" style="74" customWidth="1"/>
    <col min="3333" max="3334" width="9.42578125" style="74" customWidth="1"/>
    <col min="3335" max="3335" width="10.28515625" style="74" customWidth="1"/>
    <col min="3336" max="3336" width="8.7109375" style="74" customWidth="1"/>
    <col min="3337" max="3337" width="10.28515625" style="74" customWidth="1"/>
    <col min="3338" max="3338" width="11.140625" style="74" customWidth="1"/>
    <col min="3339" max="3339" width="12.42578125" style="74" customWidth="1"/>
    <col min="3340" max="3340" width="12.28515625" style="74" customWidth="1"/>
    <col min="3341" max="3341" width="18.85546875" style="74" customWidth="1"/>
    <col min="3342" max="3342" width="28.85546875" style="74" customWidth="1"/>
    <col min="3343" max="3343" width="29.28515625" style="74" customWidth="1"/>
    <col min="3344" max="3344" width="32.140625" style="74" customWidth="1"/>
    <col min="3345" max="3345" width="47.140625" style="74" customWidth="1"/>
    <col min="3346" max="3350" width="9.140625" style="74"/>
    <col min="3351" max="3351" width="35.7109375" style="74" customWidth="1"/>
    <col min="3352" max="3352" width="18.7109375" style="74" customWidth="1"/>
    <col min="3353" max="3353" width="24.85546875" style="74" customWidth="1"/>
    <col min="3354" max="3354" width="31" style="74" customWidth="1"/>
    <col min="3355" max="3355" width="12.85546875" style="74" customWidth="1"/>
    <col min="3356" max="3356" width="18.7109375" style="74" customWidth="1"/>
    <col min="3357" max="3357" width="24.85546875" style="74" customWidth="1"/>
    <col min="3358" max="3358" width="31" style="74" customWidth="1"/>
    <col min="3359" max="3359" width="41.7109375" style="74" customWidth="1"/>
    <col min="3360" max="3585" width="9.140625" style="74"/>
    <col min="3586" max="3586" width="5.85546875" style="74" customWidth="1"/>
    <col min="3587" max="3587" width="8.28515625" style="74" customWidth="1"/>
    <col min="3588" max="3588" width="9.7109375" style="74" customWidth="1"/>
    <col min="3589" max="3590" width="9.42578125" style="74" customWidth="1"/>
    <col min="3591" max="3591" width="10.28515625" style="74" customWidth="1"/>
    <col min="3592" max="3592" width="8.7109375" style="74" customWidth="1"/>
    <col min="3593" max="3593" width="10.28515625" style="74" customWidth="1"/>
    <col min="3594" max="3594" width="11.140625" style="74" customWidth="1"/>
    <col min="3595" max="3595" width="12.42578125" style="74" customWidth="1"/>
    <col min="3596" max="3596" width="12.28515625" style="74" customWidth="1"/>
    <col min="3597" max="3597" width="18.85546875" style="74" customWidth="1"/>
    <col min="3598" max="3598" width="28.85546875" style="74" customWidth="1"/>
    <col min="3599" max="3599" width="29.28515625" style="74" customWidth="1"/>
    <col min="3600" max="3600" width="32.140625" style="74" customWidth="1"/>
    <col min="3601" max="3601" width="47.140625" style="74" customWidth="1"/>
    <col min="3602" max="3606" width="9.140625" style="74"/>
    <col min="3607" max="3607" width="35.7109375" style="74" customWidth="1"/>
    <col min="3608" max="3608" width="18.7109375" style="74" customWidth="1"/>
    <col min="3609" max="3609" width="24.85546875" style="74" customWidth="1"/>
    <col min="3610" max="3610" width="31" style="74" customWidth="1"/>
    <col min="3611" max="3611" width="12.85546875" style="74" customWidth="1"/>
    <col min="3612" max="3612" width="18.7109375" style="74" customWidth="1"/>
    <col min="3613" max="3613" width="24.85546875" style="74" customWidth="1"/>
    <col min="3614" max="3614" width="31" style="74" customWidth="1"/>
    <col min="3615" max="3615" width="41.7109375" style="74" customWidth="1"/>
    <col min="3616" max="3841" width="9.140625" style="74"/>
    <col min="3842" max="3842" width="5.85546875" style="74" customWidth="1"/>
    <col min="3843" max="3843" width="8.28515625" style="74" customWidth="1"/>
    <col min="3844" max="3844" width="9.7109375" style="74" customWidth="1"/>
    <col min="3845" max="3846" width="9.42578125" style="74" customWidth="1"/>
    <col min="3847" max="3847" width="10.28515625" style="74" customWidth="1"/>
    <col min="3848" max="3848" width="8.7109375" style="74" customWidth="1"/>
    <col min="3849" max="3849" width="10.28515625" style="74" customWidth="1"/>
    <col min="3850" max="3850" width="11.140625" style="74" customWidth="1"/>
    <col min="3851" max="3851" width="12.42578125" style="74" customWidth="1"/>
    <col min="3852" max="3852" width="12.28515625" style="74" customWidth="1"/>
    <col min="3853" max="3853" width="18.85546875" style="74" customWidth="1"/>
    <col min="3854" max="3854" width="28.85546875" style="74" customWidth="1"/>
    <col min="3855" max="3855" width="29.28515625" style="74" customWidth="1"/>
    <col min="3856" max="3856" width="32.140625" style="74" customWidth="1"/>
    <col min="3857" max="3857" width="47.140625" style="74" customWidth="1"/>
    <col min="3858" max="3862" width="9.140625" style="74"/>
    <col min="3863" max="3863" width="35.7109375" style="74" customWidth="1"/>
    <col min="3864" max="3864" width="18.7109375" style="74" customWidth="1"/>
    <col min="3865" max="3865" width="24.85546875" style="74" customWidth="1"/>
    <col min="3866" max="3866" width="31" style="74" customWidth="1"/>
    <col min="3867" max="3867" width="12.85546875" style="74" customWidth="1"/>
    <col min="3868" max="3868" width="18.7109375" style="74" customWidth="1"/>
    <col min="3869" max="3869" width="24.85546875" style="74" customWidth="1"/>
    <col min="3870" max="3870" width="31" style="74" customWidth="1"/>
    <col min="3871" max="3871" width="41.7109375" style="74" customWidth="1"/>
    <col min="3872" max="4097" width="9.140625" style="74"/>
    <col min="4098" max="4098" width="5.85546875" style="74" customWidth="1"/>
    <col min="4099" max="4099" width="8.28515625" style="74" customWidth="1"/>
    <col min="4100" max="4100" width="9.7109375" style="74" customWidth="1"/>
    <col min="4101" max="4102" width="9.42578125" style="74" customWidth="1"/>
    <col min="4103" max="4103" width="10.28515625" style="74" customWidth="1"/>
    <col min="4104" max="4104" width="8.7109375" style="74" customWidth="1"/>
    <col min="4105" max="4105" width="10.28515625" style="74" customWidth="1"/>
    <col min="4106" max="4106" width="11.140625" style="74" customWidth="1"/>
    <col min="4107" max="4107" width="12.42578125" style="74" customWidth="1"/>
    <col min="4108" max="4108" width="12.28515625" style="74" customWidth="1"/>
    <col min="4109" max="4109" width="18.85546875" style="74" customWidth="1"/>
    <col min="4110" max="4110" width="28.85546875" style="74" customWidth="1"/>
    <col min="4111" max="4111" width="29.28515625" style="74" customWidth="1"/>
    <col min="4112" max="4112" width="32.140625" style="74" customWidth="1"/>
    <col min="4113" max="4113" width="47.140625" style="74" customWidth="1"/>
    <col min="4114" max="4118" width="9.140625" style="74"/>
    <col min="4119" max="4119" width="35.7109375" style="74" customWidth="1"/>
    <col min="4120" max="4120" width="18.7109375" style="74" customWidth="1"/>
    <col min="4121" max="4121" width="24.85546875" style="74" customWidth="1"/>
    <col min="4122" max="4122" width="31" style="74" customWidth="1"/>
    <col min="4123" max="4123" width="12.85546875" style="74" customWidth="1"/>
    <col min="4124" max="4124" width="18.7109375" style="74" customWidth="1"/>
    <col min="4125" max="4125" width="24.85546875" style="74" customWidth="1"/>
    <col min="4126" max="4126" width="31" style="74" customWidth="1"/>
    <col min="4127" max="4127" width="41.7109375" style="74" customWidth="1"/>
    <col min="4128" max="4353" width="9.140625" style="74"/>
    <col min="4354" max="4354" width="5.85546875" style="74" customWidth="1"/>
    <col min="4355" max="4355" width="8.28515625" style="74" customWidth="1"/>
    <col min="4356" max="4356" width="9.7109375" style="74" customWidth="1"/>
    <col min="4357" max="4358" width="9.42578125" style="74" customWidth="1"/>
    <col min="4359" max="4359" width="10.28515625" style="74" customWidth="1"/>
    <col min="4360" max="4360" width="8.7109375" style="74" customWidth="1"/>
    <col min="4361" max="4361" width="10.28515625" style="74" customWidth="1"/>
    <col min="4362" max="4362" width="11.140625" style="74" customWidth="1"/>
    <col min="4363" max="4363" width="12.42578125" style="74" customWidth="1"/>
    <col min="4364" max="4364" width="12.28515625" style="74" customWidth="1"/>
    <col min="4365" max="4365" width="18.85546875" style="74" customWidth="1"/>
    <col min="4366" max="4366" width="28.85546875" style="74" customWidth="1"/>
    <col min="4367" max="4367" width="29.28515625" style="74" customWidth="1"/>
    <col min="4368" max="4368" width="32.140625" style="74" customWidth="1"/>
    <col min="4369" max="4369" width="47.140625" style="74" customWidth="1"/>
    <col min="4370" max="4374" width="9.140625" style="74"/>
    <col min="4375" max="4375" width="35.7109375" style="74" customWidth="1"/>
    <col min="4376" max="4376" width="18.7109375" style="74" customWidth="1"/>
    <col min="4377" max="4377" width="24.85546875" style="74" customWidth="1"/>
    <col min="4378" max="4378" width="31" style="74" customWidth="1"/>
    <col min="4379" max="4379" width="12.85546875" style="74" customWidth="1"/>
    <col min="4380" max="4380" width="18.7109375" style="74" customWidth="1"/>
    <col min="4381" max="4381" width="24.85546875" style="74" customWidth="1"/>
    <col min="4382" max="4382" width="31" style="74" customWidth="1"/>
    <col min="4383" max="4383" width="41.7109375" style="74" customWidth="1"/>
    <col min="4384" max="4609" width="9.140625" style="74"/>
    <col min="4610" max="4610" width="5.85546875" style="74" customWidth="1"/>
    <col min="4611" max="4611" width="8.28515625" style="74" customWidth="1"/>
    <col min="4612" max="4612" width="9.7109375" style="74" customWidth="1"/>
    <col min="4613" max="4614" width="9.42578125" style="74" customWidth="1"/>
    <col min="4615" max="4615" width="10.28515625" style="74" customWidth="1"/>
    <col min="4616" max="4616" width="8.7109375" style="74" customWidth="1"/>
    <col min="4617" max="4617" width="10.28515625" style="74" customWidth="1"/>
    <col min="4618" max="4618" width="11.140625" style="74" customWidth="1"/>
    <col min="4619" max="4619" width="12.42578125" style="74" customWidth="1"/>
    <col min="4620" max="4620" width="12.28515625" style="74" customWidth="1"/>
    <col min="4621" max="4621" width="18.85546875" style="74" customWidth="1"/>
    <col min="4622" max="4622" width="28.85546875" style="74" customWidth="1"/>
    <col min="4623" max="4623" width="29.28515625" style="74" customWidth="1"/>
    <col min="4624" max="4624" width="32.140625" style="74" customWidth="1"/>
    <col min="4625" max="4625" width="47.140625" style="74" customWidth="1"/>
    <col min="4626" max="4630" width="9.140625" style="74"/>
    <col min="4631" max="4631" width="35.7109375" style="74" customWidth="1"/>
    <col min="4632" max="4632" width="18.7109375" style="74" customWidth="1"/>
    <col min="4633" max="4633" width="24.85546875" style="74" customWidth="1"/>
    <col min="4634" max="4634" width="31" style="74" customWidth="1"/>
    <col min="4635" max="4635" width="12.85546875" style="74" customWidth="1"/>
    <col min="4636" max="4636" width="18.7109375" style="74" customWidth="1"/>
    <col min="4637" max="4637" width="24.85546875" style="74" customWidth="1"/>
    <col min="4638" max="4638" width="31" style="74" customWidth="1"/>
    <col min="4639" max="4639" width="41.7109375" style="74" customWidth="1"/>
    <col min="4640" max="4865" width="9.140625" style="74"/>
    <col min="4866" max="4866" width="5.85546875" style="74" customWidth="1"/>
    <col min="4867" max="4867" width="8.28515625" style="74" customWidth="1"/>
    <col min="4868" max="4868" width="9.7109375" style="74" customWidth="1"/>
    <col min="4869" max="4870" width="9.42578125" style="74" customWidth="1"/>
    <col min="4871" max="4871" width="10.28515625" style="74" customWidth="1"/>
    <col min="4872" max="4872" width="8.7109375" style="74" customWidth="1"/>
    <col min="4873" max="4873" width="10.28515625" style="74" customWidth="1"/>
    <col min="4874" max="4874" width="11.140625" style="74" customWidth="1"/>
    <col min="4875" max="4875" width="12.42578125" style="74" customWidth="1"/>
    <col min="4876" max="4876" width="12.28515625" style="74" customWidth="1"/>
    <col min="4877" max="4877" width="18.85546875" style="74" customWidth="1"/>
    <col min="4878" max="4878" width="28.85546875" style="74" customWidth="1"/>
    <col min="4879" max="4879" width="29.28515625" style="74" customWidth="1"/>
    <col min="4880" max="4880" width="32.140625" style="74" customWidth="1"/>
    <col min="4881" max="4881" width="47.140625" style="74" customWidth="1"/>
    <col min="4882" max="4886" width="9.140625" style="74"/>
    <col min="4887" max="4887" width="35.7109375" style="74" customWidth="1"/>
    <col min="4888" max="4888" width="18.7109375" style="74" customWidth="1"/>
    <col min="4889" max="4889" width="24.85546875" style="74" customWidth="1"/>
    <col min="4890" max="4890" width="31" style="74" customWidth="1"/>
    <col min="4891" max="4891" width="12.85546875" style="74" customWidth="1"/>
    <col min="4892" max="4892" width="18.7109375" style="74" customWidth="1"/>
    <col min="4893" max="4893" width="24.85546875" style="74" customWidth="1"/>
    <col min="4894" max="4894" width="31" style="74" customWidth="1"/>
    <col min="4895" max="4895" width="41.7109375" style="74" customWidth="1"/>
    <col min="4896" max="5121" width="9.140625" style="74"/>
    <col min="5122" max="5122" width="5.85546875" style="74" customWidth="1"/>
    <col min="5123" max="5123" width="8.28515625" style="74" customWidth="1"/>
    <col min="5124" max="5124" width="9.7109375" style="74" customWidth="1"/>
    <col min="5125" max="5126" width="9.42578125" style="74" customWidth="1"/>
    <col min="5127" max="5127" width="10.28515625" style="74" customWidth="1"/>
    <col min="5128" max="5128" width="8.7109375" style="74" customWidth="1"/>
    <col min="5129" max="5129" width="10.28515625" style="74" customWidth="1"/>
    <col min="5130" max="5130" width="11.140625" style="74" customWidth="1"/>
    <col min="5131" max="5131" width="12.42578125" style="74" customWidth="1"/>
    <col min="5132" max="5132" width="12.28515625" style="74" customWidth="1"/>
    <col min="5133" max="5133" width="18.85546875" style="74" customWidth="1"/>
    <col min="5134" max="5134" width="28.85546875" style="74" customWidth="1"/>
    <col min="5135" max="5135" width="29.28515625" style="74" customWidth="1"/>
    <col min="5136" max="5136" width="32.140625" style="74" customWidth="1"/>
    <col min="5137" max="5137" width="47.140625" style="74" customWidth="1"/>
    <col min="5138" max="5142" width="9.140625" style="74"/>
    <col min="5143" max="5143" width="35.7109375" style="74" customWidth="1"/>
    <col min="5144" max="5144" width="18.7109375" style="74" customWidth="1"/>
    <col min="5145" max="5145" width="24.85546875" style="74" customWidth="1"/>
    <col min="5146" max="5146" width="31" style="74" customWidth="1"/>
    <col min="5147" max="5147" width="12.85546875" style="74" customWidth="1"/>
    <col min="5148" max="5148" width="18.7109375" style="74" customWidth="1"/>
    <col min="5149" max="5149" width="24.85546875" style="74" customWidth="1"/>
    <col min="5150" max="5150" width="31" style="74" customWidth="1"/>
    <col min="5151" max="5151" width="41.7109375" style="74" customWidth="1"/>
    <col min="5152" max="5377" width="9.140625" style="74"/>
    <col min="5378" max="5378" width="5.85546875" style="74" customWidth="1"/>
    <col min="5379" max="5379" width="8.28515625" style="74" customWidth="1"/>
    <col min="5380" max="5380" width="9.7109375" style="74" customWidth="1"/>
    <col min="5381" max="5382" width="9.42578125" style="74" customWidth="1"/>
    <col min="5383" max="5383" width="10.28515625" style="74" customWidth="1"/>
    <col min="5384" max="5384" width="8.7109375" style="74" customWidth="1"/>
    <col min="5385" max="5385" width="10.28515625" style="74" customWidth="1"/>
    <col min="5386" max="5386" width="11.140625" style="74" customWidth="1"/>
    <col min="5387" max="5387" width="12.42578125" style="74" customWidth="1"/>
    <col min="5388" max="5388" width="12.28515625" style="74" customWidth="1"/>
    <col min="5389" max="5389" width="18.85546875" style="74" customWidth="1"/>
    <col min="5390" max="5390" width="28.85546875" style="74" customWidth="1"/>
    <col min="5391" max="5391" width="29.28515625" style="74" customWidth="1"/>
    <col min="5392" max="5392" width="32.140625" style="74" customWidth="1"/>
    <col min="5393" max="5393" width="47.140625" style="74" customWidth="1"/>
    <col min="5394" max="5398" width="9.140625" style="74"/>
    <col min="5399" max="5399" width="35.7109375" style="74" customWidth="1"/>
    <col min="5400" max="5400" width="18.7109375" style="74" customWidth="1"/>
    <col min="5401" max="5401" width="24.85546875" style="74" customWidth="1"/>
    <col min="5402" max="5402" width="31" style="74" customWidth="1"/>
    <col min="5403" max="5403" width="12.85546875" style="74" customWidth="1"/>
    <col min="5404" max="5404" width="18.7109375" style="74" customWidth="1"/>
    <col min="5405" max="5405" width="24.85546875" style="74" customWidth="1"/>
    <col min="5406" max="5406" width="31" style="74" customWidth="1"/>
    <col min="5407" max="5407" width="41.7109375" style="74" customWidth="1"/>
    <col min="5408" max="5633" width="9.140625" style="74"/>
    <col min="5634" max="5634" width="5.85546875" style="74" customWidth="1"/>
    <col min="5635" max="5635" width="8.28515625" style="74" customWidth="1"/>
    <col min="5636" max="5636" width="9.7109375" style="74" customWidth="1"/>
    <col min="5637" max="5638" width="9.42578125" style="74" customWidth="1"/>
    <col min="5639" max="5639" width="10.28515625" style="74" customWidth="1"/>
    <col min="5640" max="5640" width="8.7109375" style="74" customWidth="1"/>
    <col min="5641" max="5641" width="10.28515625" style="74" customWidth="1"/>
    <col min="5642" max="5642" width="11.140625" style="74" customWidth="1"/>
    <col min="5643" max="5643" width="12.42578125" style="74" customWidth="1"/>
    <col min="5644" max="5644" width="12.28515625" style="74" customWidth="1"/>
    <col min="5645" max="5645" width="18.85546875" style="74" customWidth="1"/>
    <col min="5646" max="5646" width="28.85546875" style="74" customWidth="1"/>
    <col min="5647" max="5647" width="29.28515625" style="74" customWidth="1"/>
    <col min="5648" max="5648" width="32.140625" style="74" customWidth="1"/>
    <col min="5649" max="5649" width="47.140625" style="74" customWidth="1"/>
    <col min="5650" max="5654" width="9.140625" style="74"/>
    <col min="5655" max="5655" width="35.7109375" style="74" customWidth="1"/>
    <col min="5656" max="5656" width="18.7109375" style="74" customWidth="1"/>
    <col min="5657" max="5657" width="24.85546875" style="74" customWidth="1"/>
    <col min="5658" max="5658" width="31" style="74" customWidth="1"/>
    <col min="5659" max="5659" width="12.85546875" style="74" customWidth="1"/>
    <col min="5660" max="5660" width="18.7109375" style="74" customWidth="1"/>
    <col min="5661" max="5661" width="24.85546875" style="74" customWidth="1"/>
    <col min="5662" max="5662" width="31" style="74" customWidth="1"/>
    <col min="5663" max="5663" width="41.7109375" style="74" customWidth="1"/>
    <col min="5664" max="5889" width="9.140625" style="74"/>
    <col min="5890" max="5890" width="5.85546875" style="74" customWidth="1"/>
    <col min="5891" max="5891" width="8.28515625" style="74" customWidth="1"/>
    <col min="5892" max="5892" width="9.7109375" style="74" customWidth="1"/>
    <col min="5893" max="5894" width="9.42578125" style="74" customWidth="1"/>
    <col min="5895" max="5895" width="10.28515625" style="74" customWidth="1"/>
    <col min="5896" max="5896" width="8.7109375" style="74" customWidth="1"/>
    <col min="5897" max="5897" width="10.28515625" style="74" customWidth="1"/>
    <col min="5898" max="5898" width="11.140625" style="74" customWidth="1"/>
    <col min="5899" max="5899" width="12.42578125" style="74" customWidth="1"/>
    <col min="5900" max="5900" width="12.28515625" style="74" customWidth="1"/>
    <col min="5901" max="5901" width="18.85546875" style="74" customWidth="1"/>
    <col min="5902" max="5902" width="28.85546875" style="74" customWidth="1"/>
    <col min="5903" max="5903" width="29.28515625" style="74" customWidth="1"/>
    <col min="5904" max="5904" width="32.140625" style="74" customWidth="1"/>
    <col min="5905" max="5905" width="47.140625" style="74" customWidth="1"/>
    <col min="5906" max="5910" width="9.140625" style="74"/>
    <col min="5911" max="5911" width="35.7109375" style="74" customWidth="1"/>
    <col min="5912" max="5912" width="18.7109375" style="74" customWidth="1"/>
    <col min="5913" max="5913" width="24.85546875" style="74" customWidth="1"/>
    <col min="5914" max="5914" width="31" style="74" customWidth="1"/>
    <col min="5915" max="5915" width="12.85546875" style="74" customWidth="1"/>
    <col min="5916" max="5916" width="18.7109375" style="74" customWidth="1"/>
    <col min="5917" max="5917" width="24.85546875" style="74" customWidth="1"/>
    <col min="5918" max="5918" width="31" style="74" customWidth="1"/>
    <col min="5919" max="5919" width="41.7109375" style="74" customWidth="1"/>
    <col min="5920" max="6145" width="9.140625" style="74"/>
    <col min="6146" max="6146" width="5.85546875" style="74" customWidth="1"/>
    <col min="6147" max="6147" width="8.28515625" style="74" customWidth="1"/>
    <col min="6148" max="6148" width="9.7109375" style="74" customWidth="1"/>
    <col min="6149" max="6150" width="9.42578125" style="74" customWidth="1"/>
    <col min="6151" max="6151" width="10.28515625" style="74" customWidth="1"/>
    <col min="6152" max="6152" width="8.7109375" style="74" customWidth="1"/>
    <col min="6153" max="6153" width="10.28515625" style="74" customWidth="1"/>
    <col min="6154" max="6154" width="11.140625" style="74" customWidth="1"/>
    <col min="6155" max="6155" width="12.42578125" style="74" customWidth="1"/>
    <col min="6156" max="6156" width="12.28515625" style="74" customWidth="1"/>
    <col min="6157" max="6157" width="18.85546875" style="74" customWidth="1"/>
    <col min="6158" max="6158" width="28.85546875" style="74" customWidth="1"/>
    <col min="6159" max="6159" width="29.28515625" style="74" customWidth="1"/>
    <col min="6160" max="6160" width="32.140625" style="74" customWidth="1"/>
    <col min="6161" max="6161" width="47.140625" style="74" customWidth="1"/>
    <col min="6162" max="6166" width="9.140625" style="74"/>
    <col min="6167" max="6167" width="35.7109375" style="74" customWidth="1"/>
    <col min="6168" max="6168" width="18.7109375" style="74" customWidth="1"/>
    <col min="6169" max="6169" width="24.85546875" style="74" customWidth="1"/>
    <col min="6170" max="6170" width="31" style="74" customWidth="1"/>
    <col min="6171" max="6171" width="12.85546875" style="74" customWidth="1"/>
    <col min="6172" max="6172" width="18.7109375" style="74" customWidth="1"/>
    <col min="6173" max="6173" width="24.85546875" style="74" customWidth="1"/>
    <col min="6174" max="6174" width="31" style="74" customWidth="1"/>
    <col min="6175" max="6175" width="41.7109375" style="74" customWidth="1"/>
    <col min="6176" max="6401" width="9.140625" style="74"/>
    <col min="6402" max="6402" width="5.85546875" style="74" customWidth="1"/>
    <col min="6403" max="6403" width="8.28515625" style="74" customWidth="1"/>
    <col min="6404" max="6404" width="9.7109375" style="74" customWidth="1"/>
    <col min="6405" max="6406" width="9.42578125" style="74" customWidth="1"/>
    <col min="6407" max="6407" width="10.28515625" style="74" customWidth="1"/>
    <col min="6408" max="6408" width="8.7109375" style="74" customWidth="1"/>
    <col min="6409" max="6409" width="10.28515625" style="74" customWidth="1"/>
    <col min="6410" max="6410" width="11.140625" style="74" customWidth="1"/>
    <col min="6411" max="6411" width="12.42578125" style="74" customWidth="1"/>
    <col min="6412" max="6412" width="12.28515625" style="74" customWidth="1"/>
    <col min="6413" max="6413" width="18.85546875" style="74" customWidth="1"/>
    <col min="6414" max="6414" width="28.85546875" style="74" customWidth="1"/>
    <col min="6415" max="6415" width="29.28515625" style="74" customWidth="1"/>
    <col min="6416" max="6416" width="32.140625" style="74" customWidth="1"/>
    <col min="6417" max="6417" width="47.140625" style="74" customWidth="1"/>
    <col min="6418" max="6422" width="9.140625" style="74"/>
    <col min="6423" max="6423" width="35.7109375" style="74" customWidth="1"/>
    <col min="6424" max="6424" width="18.7109375" style="74" customWidth="1"/>
    <col min="6425" max="6425" width="24.85546875" style="74" customWidth="1"/>
    <col min="6426" max="6426" width="31" style="74" customWidth="1"/>
    <col min="6427" max="6427" width="12.85546875" style="74" customWidth="1"/>
    <col min="6428" max="6428" width="18.7109375" style="74" customWidth="1"/>
    <col min="6429" max="6429" width="24.85546875" style="74" customWidth="1"/>
    <col min="6430" max="6430" width="31" style="74" customWidth="1"/>
    <col min="6431" max="6431" width="41.7109375" style="74" customWidth="1"/>
    <col min="6432" max="6657" width="9.140625" style="74"/>
    <col min="6658" max="6658" width="5.85546875" style="74" customWidth="1"/>
    <col min="6659" max="6659" width="8.28515625" style="74" customWidth="1"/>
    <col min="6660" max="6660" width="9.7109375" style="74" customWidth="1"/>
    <col min="6661" max="6662" width="9.42578125" style="74" customWidth="1"/>
    <col min="6663" max="6663" width="10.28515625" style="74" customWidth="1"/>
    <col min="6664" max="6664" width="8.7109375" style="74" customWidth="1"/>
    <col min="6665" max="6665" width="10.28515625" style="74" customWidth="1"/>
    <col min="6666" max="6666" width="11.140625" style="74" customWidth="1"/>
    <col min="6667" max="6667" width="12.42578125" style="74" customWidth="1"/>
    <col min="6668" max="6668" width="12.28515625" style="74" customWidth="1"/>
    <col min="6669" max="6669" width="18.85546875" style="74" customWidth="1"/>
    <col min="6670" max="6670" width="28.85546875" style="74" customWidth="1"/>
    <col min="6671" max="6671" width="29.28515625" style="74" customWidth="1"/>
    <col min="6672" max="6672" width="32.140625" style="74" customWidth="1"/>
    <col min="6673" max="6673" width="47.140625" style="74" customWidth="1"/>
    <col min="6674" max="6678" width="9.140625" style="74"/>
    <col min="6679" max="6679" width="35.7109375" style="74" customWidth="1"/>
    <col min="6680" max="6680" width="18.7109375" style="74" customWidth="1"/>
    <col min="6681" max="6681" width="24.85546875" style="74" customWidth="1"/>
    <col min="6682" max="6682" width="31" style="74" customWidth="1"/>
    <col min="6683" max="6683" width="12.85546875" style="74" customWidth="1"/>
    <col min="6684" max="6684" width="18.7109375" style="74" customWidth="1"/>
    <col min="6685" max="6685" width="24.85546875" style="74" customWidth="1"/>
    <col min="6686" max="6686" width="31" style="74" customWidth="1"/>
    <col min="6687" max="6687" width="41.7109375" style="74" customWidth="1"/>
    <col min="6688" max="6913" width="9.140625" style="74"/>
    <col min="6914" max="6914" width="5.85546875" style="74" customWidth="1"/>
    <col min="6915" max="6915" width="8.28515625" style="74" customWidth="1"/>
    <col min="6916" max="6916" width="9.7109375" style="74" customWidth="1"/>
    <col min="6917" max="6918" width="9.42578125" style="74" customWidth="1"/>
    <col min="6919" max="6919" width="10.28515625" style="74" customWidth="1"/>
    <col min="6920" max="6920" width="8.7109375" style="74" customWidth="1"/>
    <col min="6921" max="6921" width="10.28515625" style="74" customWidth="1"/>
    <col min="6922" max="6922" width="11.140625" style="74" customWidth="1"/>
    <col min="6923" max="6923" width="12.42578125" style="74" customWidth="1"/>
    <col min="6924" max="6924" width="12.28515625" style="74" customWidth="1"/>
    <col min="6925" max="6925" width="18.85546875" style="74" customWidth="1"/>
    <col min="6926" max="6926" width="28.85546875" style="74" customWidth="1"/>
    <col min="6927" max="6927" width="29.28515625" style="74" customWidth="1"/>
    <col min="6928" max="6928" width="32.140625" style="74" customWidth="1"/>
    <col min="6929" max="6929" width="47.140625" style="74" customWidth="1"/>
    <col min="6930" max="6934" width="9.140625" style="74"/>
    <col min="6935" max="6935" width="35.7109375" style="74" customWidth="1"/>
    <col min="6936" max="6936" width="18.7109375" style="74" customWidth="1"/>
    <col min="6937" max="6937" width="24.85546875" style="74" customWidth="1"/>
    <col min="6938" max="6938" width="31" style="74" customWidth="1"/>
    <col min="6939" max="6939" width="12.85546875" style="74" customWidth="1"/>
    <col min="6940" max="6940" width="18.7109375" style="74" customWidth="1"/>
    <col min="6941" max="6941" width="24.85546875" style="74" customWidth="1"/>
    <col min="6942" max="6942" width="31" style="74" customWidth="1"/>
    <col min="6943" max="6943" width="41.7109375" style="74" customWidth="1"/>
    <col min="6944" max="7169" width="9.140625" style="74"/>
    <col min="7170" max="7170" width="5.85546875" style="74" customWidth="1"/>
    <col min="7171" max="7171" width="8.28515625" style="74" customWidth="1"/>
    <col min="7172" max="7172" width="9.7109375" style="74" customWidth="1"/>
    <col min="7173" max="7174" width="9.42578125" style="74" customWidth="1"/>
    <col min="7175" max="7175" width="10.28515625" style="74" customWidth="1"/>
    <col min="7176" max="7176" width="8.7109375" style="74" customWidth="1"/>
    <col min="7177" max="7177" width="10.28515625" style="74" customWidth="1"/>
    <col min="7178" max="7178" width="11.140625" style="74" customWidth="1"/>
    <col min="7179" max="7179" width="12.42578125" style="74" customWidth="1"/>
    <col min="7180" max="7180" width="12.28515625" style="74" customWidth="1"/>
    <col min="7181" max="7181" width="18.85546875" style="74" customWidth="1"/>
    <col min="7182" max="7182" width="28.85546875" style="74" customWidth="1"/>
    <col min="7183" max="7183" width="29.28515625" style="74" customWidth="1"/>
    <col min="7184" max="7184" width="32.140625" style="74" customWidth="1"/>
    <col min="7185" max="7185" width="47.140625" style="74" customWidth="1"/>
    <col min="7186" max="7190" width="9.140625" style="74"/>
    <col min="7191" max="7191" width="35.7109375" style="74" customWidth="1"/>
    <col min="7192" max="7192" width="18.7109375" style="74" customWidth="1"/>
    <col min="7193" max="7193" width="24.85546875" style="74" customWidth="1"/>
    <col min="7194" max="7194" width="31" style="74" customWidth="1"/>
    <col min="7195" max="7195" width="12.85546875" style="74" customWidth="1"/>
    <col min="7196" max="7196" width="18.7109375" style="74" customWidth="1"/>
    <col min="7197" max="7197" width="24.85546875" style="74" customWidth="1"/>
    <col min="7198" max="7198" width="31" style="74" customWidth="1"/>
    <col min="7199" max="7199" width="41.7109375" style="74" customWidth="1"/>
    <col min="7200" max="7425" width="9.140625" style="74"/>
    <col min="7426" max="7426" width="5.85546875" style="74" customWidth="1"/>
    <col min="7427" max="7427" width="8.28515625" style="74" customWidth="1"/>
    <col min="7428" max="7428" width="9.7109375" style="74" customWidth="1"/>
    <col min="7429" max="7430" width="9.42578125" style="74" customWidth="1"/>
    <col min="7431" max="7431" width="10.28515625" style="74" customWidth="1"/>
    <col min="7432" max="7432" width="8.7109375" style="74" customWidth="1"/>
    <col min="7433" max="7433" width="10.28515625" style="74" customWidth="1"/>
    <col min="7434" max="7434" width="11.140625" style="74" customWidth="1"/>
    <col min="7435" max="7435" width="12.42578125" style="74" customWidth="1"/>
    <col min="7436" max="7436" width="12.28515625" style="74" customWidth="1"/>
    <col min="7437" max="7437" width="18.85546875" style="74" customWidth="1"/>
    <col min="7438" max="7438" width="28.85546875" style="74" customWidth="1"/>
    <col min="7439" max="7439" width="29.28515625" style="74" customWidth="1"/>
    <col min="7440" max="7440" width="32.140625" style="74" customWidth="1"/>
    <col min="7441" max="7441" width="47.140625" style="74" customWidth="1"/>
    <col min="7442" max="7446" width="9.140625" style="74"/>
    <col min="7447" max="7447" width="35.7109375" style="74" customWidth="1"/>
    <col min="7448" max="7448" width="18.7109375" style="74" customWidth="1"/>
    <col min="7449" max="7449" width="24.85546875" style="74" customWidth="1"/>
    <col min="7450" max="7450" width="31" style="74" customWidth="1"/>
    <col min="7451" max="7451" width="12.85546875" style="74" customWidth="1"/>
    <col min="7452" max="7452" width="18.7109375" style="74" customWidth="1"/>
    <col min="7453" max="7453" width="24.85546875" style="74" customWidth="1"/>
    <col min="7454" max="7454" width="31" style="74" customWidth="1"/>
    <col min="7455" max="7455" width="41.7109375" style="74" customWidth="1"/>
    <col min="7456" max="7681" width="9.140625" style="74"/>
    <col min="7682" max="7682" width="5.85546875" style="74" customWidth="1"/>
    <col min="7683" max="7683" width="8.28515625" style="74" customWidth="1"/>
    <col min="7684" max="7684" width="9.7109375" style="74" customWidth="1"/>
    <col min="7685" max="7686" width="9.42578125" style="74" customWidth="1"/>
    <col min="7687" max="7687" width="10.28515625" style="74" customWidth="1"/>
    <col min="7688" max="7688" width="8.7109375" style="74" customWidth="1"/>
    <col min="7689" max="7689" width="10.28515625" style="74" customWidth="1"/>
    <col min="7690" max="7690" width="11.140625" style="74" customWidth="1"/>
    <col min="7691" max="7691" width="12.42578125" style="74" customWidth="1"/>
    <col min="7692" max="7692" width="12.28515625" style="74" customWidth="1"/>
    <col min="7693" max="7693" width="18.85546875" style="74" customWidth="1"/>
    <col min="7694" max="7694" width="28.85546875" style="74" customWidth="1"/>
    <col min="7695" max="7695" width="29.28515625" style="74" customWidth="1"/>
    <col min="7696" max="7696" width="32.140625" style="74" customWidth="1"/>
    <col min="7697" max="7697" width="47.140625" style="74" customWidth="1"/>
    <col min="7698" max="7702" width="9.140625" style="74"/>
    <col min="7703" max="7703" width="35.7109375" style="74" customWidth="1"/>
    <col min="7704" max="7704" width="18.7109375" style="74" customWidth="1"/>
    <col min="7705" max="7705" width="24.85546875" style="74" customWidth="1"/>
    <col min="7706" max="7706" width="31" style="74" customWidth="1"/>
    <col min="7707" max="7707" width="12.85546875" style="74" customWidth="1"/>
    <col min="7708" max="7708" width="18.7109375" style="74" customWidth="1"/>
    <col min="7709" max="7709" width="24.85546875" style="74" customWidth="1"/>
    <col min="7710" max="7710" width="31" style="74" customWidth="1"/>
    <col min="7711" max="7711" width="41.7109375" style="74" customWidth="1"/>
    <col min="7712" max="7937" width="9.140625" style="74"/>
    <col min="7938" max="7938" width="5.85546875" style="74" customWidth="1"/>
    <col min="7939" max="7939" width="8.28515625" style="74" customWidth="1"/>
    <col min="7940" max="7940" width="9.7109375" style="74" customWidth="1"/>
    <col min="7941" max="7942" width="9.42578125" style="74" customWidth="1"/>
    <col min="7943" max="7943" width="10.28515625" style="74" customWidth="1"/>
    <col min="7944" max="7944" width="8.7109375" style="74" customWidth="1"/>
    <col min="7945" max="7945" width="10.28515625" style="74" customWidth="1"/>
    <col min="7946" max="7946" width="11.140625" style="74" customWidth="1"/>
    <col min="7947" max="7947" width="12.42578125" style="74" customWidth="1"/>
    <col min="7948" max="7948" width="12.28515625" style="74" customWidth="1"/>
    <col min="7949" max="7949" width="18.85546875" style="74" customWidth="1"/>
    <col min="7950" max="7950" width="28.85546875" style="74" customWidth="1"/>
    <col min="7951" max="7951" width="29.28515625" style="74" customWidth="1"/>
    <col min="7952" max="7952" width="32.140625" style="74" customWidth="1"/>
    <col min="7953" max="7953" width="47.140625" style="74" customWidth="1"/>
    <col min="7954" max="7958" width="9.140625" style="74"/>
    <col min="7959" max="7959" width="35.7109375" style="74" customWidth="1"/>
    <col min="7960" max="7960" width="18.7109375" style="74" customWidth="1"/>
    <col min="7961" max="7961" width="24.85546875" style="74" customWidth="1"/>
    <col min="7962" max="7962" width="31" style="74" customWidth="1"/>
    <col min="7963" max="7963" width="12.85546875" style="74" customWidth="1"/>
    <col min="7964" max="7964" width="18.7109375" style="74" customWidth="1"/>
    <col min="7965" max="7965" width="24.85546875" style="74" customWidth="1"/>
    <col min="7966" max="7966" width="31" style="74" customWidth="1"/>
    <col min="7967" max="7967" width="41.7109375" style="74" customWidth="1"/>
    <col min="7968" max="8193" width="9.140625" style="74"/>
    <col min="8194" max="8194" width="5.85546875" style="74" customWidth="1"/>
    <col min="8195" max="8195" width="8.28515625" style="74" customWidth="1"/>
    <col min="8196" max="8196" width="9.7109375" style="74" customWidth="1"/>
    <col min="8197" max="8198" width="9.42578125" style="74" customWidth="1"/>
    <col min="8199" max="8199" width="10.28515625" style="74" customWidth="1"/>
    <col min="8200" max="8200" width="8.7109375" style="74" customWidth="1"/>
    <col min="8201" max="8201" width="10.28515625" style="74" customWidth="1"/>
    <col min="8202" max="8202" width="11.140625" style="74" customWidth="1"/>
    <col min="8203" max="8203" width="12.42578125" style="74" customWidth="1"/>
    <col min="8204" max="8204" width="12.28515625" style="74" customWidth="1"/>
    <col min="8205" max="8205" width="18.85546875" style="74" customWidth="1"/>
    <col min="8206" max="8206" width="28.85546875" style="74" customWidth="1"/>
    <col min="8207" max="8207" width="29.28515625" style="74" customWidth="1"/>
    <col min="8208" max="8208" width="32.140625" style="74" customWidth="1"/>
    <col min="8209" max="8209" width="47.140625" style="74" customWidth="1"/>
    <col min="8210" max="8214" width="9.140625" style="74"/>
    <col min="8215" max="8215" width="35.7109375" style="74" customWidth="1"/>
    <col min="8216" max="8216" width="18.7109375" style="74" customWidth="1"/>
    <col min="8217" max="8217" width="24.85546875" style="74" customWidth="1"/>
    <col min="8218" max="8218" width="31" style="74" customWidth="1"/>
    <col min="8219" max="8219" width="12.85546875" style="74" customWidth="1"/>
    <col min="8220" max="8220" width="18.7109375" style="74" customWidth="1"/>
    <col min="8221" max="8221" width="24.85546875" style="74" customWidth="1"/>
    <col min="8222" max="8222" width="31" style="74" customWidth="1"/>
    <col min="8223" max="8223" width="41.7109375" style="74" customWidth="1"/>
    <col min="8224" max="8449" width="9.140625" style="74"/>
    <col min="8450" max="8450" width="5.85546875" style="74" customWidth="1"/>
    <col min="8451" max="8451" width="8.28515625" style="74" customWidth="1"/>
    <col min="8452" max="8452" width="9.7109375" style="74" customWidth="1"/>
    <col min="8453" max="8454" width="9.42578125" style="74" customWidth="1"/>
    <col min="8455" max="8455" width="10.28515625" style="74" customWidth="1"/>
    <col min="8456" max="8456" width="8.7109375" style="74" customWidth="1"/>
    <col min="8457" max="8457" width="10.28515625" style="74" customWidth="1"/>
    <col min="8458" max="8458" width="11.140625" style="74" customWidth="1"/>
    <col min="8459" max="8459" width="12.42578125" style="74" customWidth="1"/>
    <col min="8460" max="8460" width="12.28515625" style="74" customWidth="1"/>
    <col min="8461" max="8461" width="18.85546875" style="74" customWidth="1"/>
    <col min="8462" max="8462" width="28.85546875" style="74" customWidth="1"/>
    <col min="8463" max="8463" width="29.28515625" style="74" customWidth="1"/>
    <col min="8464" max="8464" width="32.140625" style="74" customWidth="1"/>
    <col min="8465" max="8465" width="47.140625" style="74" customWidth="1"/>
    <col min="8466" max="8470" width="9.140625" style="74"/>
    <col min="8471" max="8471" width="35.7109375" style="74" customWidth="1"/>
    <col min="8472" max="8472" width="18.7109375" style="74" customWidth="1"/>
    <col min="8473" max="8473" width="24.85546875" style="74" customWidth="1"/>
    <col min="8474" max="8474" width="31" style="74" customWidth="1"/>
    <col min="8475" max="8475" width="12.85546875" style="74" customWidth="1"/>
    <col min="8476" max="8476" width="18.7109375" style="74" customWidth="1"/>
    <col min="8477" max="8477" width="24.85546875" style="74" customWidth="1"/>
    <col min="8478" max="8478" width="31" style="74" customWidth="1"/>
    <col min="8479" max="8479" width="41.7109375" style="74" customWidth="1"/>
    <col min="8480" max="8705" width="9.140625" style="74"/>
    <col min="8706" max="8706" width="5.85546875" style="74" customWidth="1"/>
    <col min="8707" max="8707" width="8.28515625" style="74" customWidth="1"/>
    <col min="8708" max="8708" width="9.7109375" style="74" customWidth="1"/>
    <col min="8709" max="8710" width="9.42578125" style="74" customWidth="1"/>
    <col min="8711" max="8711" width="10.28515625" style="74" customWidth="1"/>
    <col min="8712" max="8712" width="8.7109375" style="74" customWidth="1"/>
    <col min="8713" max="8713" width="10.28515625" style="74" customWidth="1"/>
    <col min="8714" max="8714" width="11.140625" style="74" customWidth="1"/>
    <col min="8715" max="8715" width="12.42578125" style="74" customWidth="1"/>
    <col min="8716" max="8716" width="12.28515625" style="74" customWidth="1"/>
    <col min="8717" max="8717" width="18.85546875" style="74" customWidth="1"/>
    <col min="8718" max="8718" width="28.85546875" style="74" customWidth="1"/>
    <col min="8719" max="8719" width="29.28515625" style="74" customWidth="1"/>
    <col min="8720" max="8720" width="32.140625" style="74" customWidth="1"/>
    <col min="8721" max="8721" width="47.140625" style="74" customWidth="1"/>
    <col min="8722" max="8726" width="9.140625" style="74"/>
    <col min="8727" max="8727" width="35.7109375" style="74" customWidth="1"/>
    <col min="8728" max="8728" width="18.7109375" style="74" customWidth="1"/>
    <col min="8729" max="8729" width="24.85546875" style="74" customWidth="1"/>
    <col min="8730" max="8730" width="31" style="74" customWidth="1"/>
    <col min="8731" max="8731" width="12.85546875" style="74" customWidth="1"/>
    <col min="8732" max="8732" width="18.7109375" style="74" customWidth="1"/>
    <col min="8733" max="8733" width="24.85546875" style="74" customWidth="1"/>
    <col min="8734" max="8734" width="31" style="74" customWidth="1"/>
    <col min="8735" max="8735" width="41.7109375" style="74" customWidth="1"/>
    <col min="8736" max="8961" width="9.140625" style="74"/>
    <col min="8962" max="8962" width="5.85546875" style="74" customWidth="1"/>
    <col min="8963" max="8963" width="8.28515625" style="74" customWidth="1"/>
    <col min="8964" max="8964" width="9.7109375" style="74" customWidth="1"/>
    <col min="8965" max="8966" width="9.42578125" style="74" customWidth="1"/>
    <col min="8967" max="8967" width="10.28515625" style="74" customWidth="1"/>
    <col min="8968" max="8968" width="8.7109375" style="74" customWidth="1"/>
    <col min="8969" max="8969" width="10.28515625" style="74" customWidth="1"/>
    <col min="8970" max="8970" width="11.140625" style="74" customWidth="1"/>
    <col min="8971" max="8971" width="12.42578125" style="74" customWidth="1"/>
    <col min="8972" max="8972" width="12.28515625" style="74" customWidth="1"/>
    <col min="8973" max="8973" width="18.85546875" style="74" customWidth="1"/>
    <col min="8974" max="8974" width="28.85546875" style="74" customWidth="1"/>
    <col min="8975" max="8975" width="29.28515625" style="74" customWidth="1"/>
    <col min="8976" max="8976" width="32.140625" style="74" customWidth="1"/>
    <col min="8977" max="8977" width="47.140625" style="74" customWidth="1"/>
    <col min="8978" max="8982" width="9.140625" style="74"/>
    <col min="8983" max="8983" width="35.7109375" style="74" customWidth="1"/>
    <col min="8984" max="8984" width="18.7109375" style="74" customWidth="1"/>
    <col min="8985" max="8985" width="24.85546875" style="74" customWidth="1"/>
    <col min="8986" max="8986" width="31" style="74" customWidth="1"/>
    <col min="8987" max="8987" width="12.85546875" style="74" customWidth="1"/>
    <col min="8988" max="8988" width="18.7109375" style="74" customWidth="1"/>
    <col min="8989" max="8989" width="24.85546875" style="74" customWidth="1"/>
    <col min="8990" max="8990" width="31" style="74" customWidth="1"/>
    <col min="8991" max="8991" width="41.7109375" style="74" customWidth="1"/>
    <col min="8992" max="9217" width="9.140625" style="74"/>
    <col min="9218" max="9218" width="5.85546875" style="74" customWidth="1"/>
    <col min="9219" max="9219" width="8.28515625" style="74" customWidth="1"/>
    <col min="9220" max="9220" width="9.7109375" style="74" customWidth="1"/>
    <col min="9221" max="9222" width="9.42578125" style="74" customWidth="1"/>
    <col min="9223" max="9223" width="10.28515625" style="74" customWidth="1"/>
    <col min="9224" max="9224" width="8.7109375" style="74" customWidth="1"/>
    <col min="9225" max="9225" width="10.28515625" style="74" customWidth="1"/>
    <col min="9226" max="9226" width="11.140625" style="74" customWidth="1"/>
    <col min="9227" max="9227" width="12.42578125" style="74" customWidth="1"/>
    <col min="9228" max="9228" width="12.28515625" style="74" customWidth="1"/>
    <col min="9229" max="9229" width="18.85546875" style="74" customWidth="1"/>
    <col min="9230" max="9230" width="28.85546875" style="74" customWidth="1"/>
    <col min="9231" max="9231" width="29.28515625" style="74" customWidth="1"/>
    <col min="9232" max="9232" width="32.140625" style="74" customWidth="1"/>
    <col min="9233" max="9233" width="47.140625" style="74" customWidth="1"/>
    <col min="9234" max="9238" width="9.140625" style="74"/>
    <col min="9239" max="9239" width="35.7109375" style="74" customWidth="1"/>
    <col min="9240" max="9240" width="18.7109375" style="74" customWidth="1"/>
    <col min="9241" max="9241" width="24.85546875" style="74" customWidth="1"/>
    <col min="9242" max="9242" width="31" style="74" customWidth="1"/>
    <col min="9243" max="9243" width="12.85546875" style="74" customWidth="1"/>
    <col min="9244" max="9244" width="18.7109375" style="74" customWidth="1"/>
    <col min="9245" max="9245" width="24.85546875" style="74" customWidth="1"/>
    <col min="9246" max="9246" width="31" style="74" customWidth="1"/>
    <col min="9247" max="9247" width="41.7109375" style="74" customWidth="1"/>
    <col min="9248" max="9473" width="9.140625" style="74"/>
    <col min="9474" max="9474" width="5.85546875" style="74" customWidth="1"/>
    <col min="9475" max="9475" width="8.28515625" style="74" customWidth="1"/>
    <col min="9476" max="9476" width="9.7109375" style="74" customWidth="1"/>
    <col min="9477" max="9478" width="9.42578125" style="74" customWidth="1"/>
    <col min="9479" max="9479" width="10.28515625" style="74" customWidth="1"/>
    <col min="9480" max="9480" width="8.7109375" style="74" customWidth="1"/>
    <col min="9481" max="9481" width="10.28515625" style="74" customWidth="1"/>
    <col min="9482" max="9482" width="11.140625" style="74" customWidth="1"/>
    <col min="9483" max="9483" width="12.42578125" style="74" customWidth="1"/>
    <col min="9484" max="9484" width="12.28515625" style="74" customWidth="1"/>
    <col min="9485" max="9485" width="18.85546875" style="74" customWidth="1"/>
    <col min="9486" max="9486" width="28.85546875" style="74" customWidth="1"/>
    <col min="9487" max="9487" width="29.28515625" style="74" customWidth="1"/>
    <col min="9488" max="9488" width="32.140625" style="74" customWidth="1"/>
    <col min="9489" max="9489" width="47.140625" style="74" customWidth="1"/>
    <col min="9490" max="9494" width="9.140625" style="74"/>
    <col min="9495" max="9495" width="35.7109375" style="74" customWidth="1"/>
    <col min="9496" max="9496" width="18.7109375" style="74" customWidth="1"/>
    <col min="9497" max="9497" width="24.85546875" style="74" customWidth="1"/>
    <col min="9498" max="9498" width="31" style="74" customWidth="1"/>
    <col min="9499" max="9499" width="12.85546875" style="74" customWidth="1"/>
    <col min="9500" max="9500" width="18.7109375" style="74" customWidth="1"/>
    <col min="9501" max="9501" width="24.85546875" style="74" customWidth="1"/>
    <col min="9502" max="9502" width="31" style="74" customWidth="1"/>
    <col min="9503" max="9503" width="41.7109375" style="74" customWidth="1"/>
    <col min="9504" max="9729" width="9.140625" style="74"/>
    <col min="9730" max="9730" width="5.85546875" style="74" customWidth="1"/>
    <col min="9731" max="9731" width="8.28515625" style="74" customWidth="1"/>
    <col min="9732" max="9732" width="9.7109375" style="74" customWidth="1"/>
    <col min="9733" max="9734" width="9.42578125" style="74" customWidth="1"/>
    <col min="9735" max="9735" width="10.28515625" style="74" customWidth="1"/>
    <col min="9736" max="9736" width="8.7109375" style="74" customWidth="1"/>
    <col min="9737" max="9737" width="10.28515625" style="74" customWidth="1"/>
    <col min="9738" max="9738" width="11.140625" style="74" customWidth="1"/>
    <col min="9739" max="9739" width="12.42578125" style="74" customWidth="1"/>
    <col min="9740" max="9740" width="12.28515625" style="74" customWidth="1"/>
    <col min="9741" max="9741" width="18.85546875" style="74" customWidth="1"/>
    <col min="9742" max="9742" width="28.85546875" style="74" customWidth="1"/>
    <col min="9743" max="9743" width="29.28515625" style="74" customWidth="1"/>
    <col min="9744" max="9744" width="32.140625" style="74" customWidth="1"/>
    <col min="9745" max="9745" width="47.140625" style="74" customWidth="1"/>
    <col min="9746" max="9750" width="9.140625" style="74"/>
    <col min="9751" max="9751" width="35.7109375" style="74" customWidth="1"/>
    <col min="9752" max="9752" width="18.7109375" style="74" customWidth="1"/>
    <col min="9753" max="9753" width="24.85546875" style="74" customWidth="1"/>
    <col min="9754" max="9754" width="31" style="74" customWidth="1"/>
    <col min="9755" max="9755" width="12.85546875" style="74" customWidth="1"/>
    <col min="9756" max="9756" width="18.7109375" style="74" customWidth="1"/>
    <col min="9757" max="9757" width="24.85546875" style="74" customWidth="1"/>
    <col min="9758" max="9758" width="31" style="74" customWidth="1"/>
    <col min="9759" max="9759" width="41.7109375" style="74" customWidth="1"/>
    <col min="9760" max="9985" width="9.140625" style="74"/>
    <col min="9986" max="9986" width="5.85546875" style="74" customWidth="1"/>
    <col min="9987" max="9987" width="8.28515625" style="74" customWidth="1"/>
    <col min="9988" max="9988" width="9.7109375" style="74" customWidth="1"/>
    <col min="9989" max="9990" width="9.42578125" style="74" customWidth="1"/>
    <col min="9991" max="9991" width="10.28515625" style="74" customWidth="1"/>
    <col min="9992" max="9992" width="8.7109375" style="74" customWidth="1"/>
    <col min="9993" max="9993" width="10.28515625" style="74" customWidth="1"/>
    <col min="9994" max="9994" width="11.140625" style="74" customWidth="1"/>
    <col min="9995" max="9995" width="12.42578125" style="74" customWidth="1"/>
    <col min="9996" max="9996" width="12.28515625" style="74" customWidth="1"/>
    <col min="9997" max="9997" width="18.85546875" style="74" customWidth="1"/>
    <col min="9998" max="9998" width="28.85546875" style="74" customWidth="1"/>
    <col min="9999" max="9999" width="29.28515625" style="74" customWidth="1"/>
    <col min="10000" max="10000" width="32.140625" style="74" customWidth="1"/>
    <col min="10001" max="10001" width="47.140625" style="74" customWidth="1"/>
    <col min="10002" max="10006" width="9.140625" style="74"/>
    <col min="10007" max="10007" width="35.7109375" style="74" customWidth="1"/>
    <col min="10008" max="10008" width="18.7109375" style="74" customWidth="1"/>
    <col min="10009" max="10009" width="24.85546875" style="74" customWidth="1"/>
    <col min="10010" max="10010" width="31" style="74" customWidth="1"/>
    <col min="10011" max="10011" width="12.85546875" style="74" customWidth="1"/>
    <col min="10012" max="10012" width="18.7109375" style="74" customWidth="1"/>
    <col min="10013" max="10013" width="24.85546875" style="74" customWidth="1"/>
    <col min="10014" max="10014" width="31" style="74" customWidth="1"/>
    <col min="10015" max="10015" width="41.7109375" style="74" customWidth="1"/>
    <col min="10016" max="10241" width="9.140625" style="74"/>
    <col min="10242" max="10242" width="5.85546875" style="74" customWidth="1"/>
    <col min="10243" max="10243" width="8.28515625" style="74" customWidth="1"/>
    <col min="10244" max="10244" width="9.7109375" style="74" customWidth="1"/>
    <col min="10245" max="10246" width="9.42578125" style="74" customWidth="1"/>
    <col min="10247" max="10247" width="10.28515625" style="74" customWidth="1"/>
    <col min="10248" max="10248" width="8.7109375" style="74" customWidth="1"/>
    <col min="10249" max="10249" width="10.28515625" style="74" customWidth="1"/>
    <col min="10250" max="10250" width="11.140625" style="74" customWidth="1"/>
    <col min="10251" max="10251" width="12.42578125" style="74" customWidth="1"/>
    <col min="10252" max="10252" width="12.28515625" style="74" customWidth="1"/>
    <col min="10253" max="10253" width="18.85546875" style="74" customWidth="1"/>
    <col min="10254" max="10254" width="28.85546875" style="74" customWidth="1"/>
    <col min="10255" max="10255" width="29.28515625" style="74" customWidth="1"/>
    <col min="10256" max="10256" width="32.140625" style="74" customWidth="1"/>
    <col min="10257" max="10257" width="47.140625" style="74" customWidth="1"/>
    <col min="10258" max="10262" width="9.140625" style="74"/>
    <col min="10263" max="10263" width="35.7109375" style="74" customWidth="1"/>
    <col min="10264" max="10264" width="18.7109375" style="74" customWidth="1"/>
    <col min="10265" max="10265" width="24.85546875" style="74" customWidth="1"/>
    <col min="10266" max="10266" width="31" style="74" customWidth="1"/>
    <col min="10267" max="10267" width="12.85546875" style="74" customWidth="1"/>
    <col min="10268" max="10268" width="18.7109375" style="74" customWidth="1"/>
    <col min="10269" max="10269" width="24.85546875" style="74" customWidth="1"/>
    <col min="10270" max="10270" width="31" style="74" customWidth="1"/>
    <col min="10271" max="10271" width="41.7109375" style="74" customWidth="1"/>
    <col min="10272" max="10497" width="9.140625" style="74"/>
    <col min="10498" max="10498" width="5.85546875" style="74" customWidth="1"/>
    <col min="10499" max="10499" width="8.28515625" style="74" customWidth="1"/>
    <col min="10500" max="10500" width="9.7109375" style="74" customWidth="1"/>
    <col min="10501" max="10502" width="9.42578125" style="74" customWidth="1"/>
    <col min="10503" max="10503" width="10.28515625" style="74" customWidth="1"/>
    <col min="10504" max="10504" width="8.7109375" style="74" customWidth="1"/>
    <col min="10505" max="10505" width="10.28515625" style="74" customWidth="1"/>
    <col min="10506" max="10506" width="11.140625" style="74" customWidth="1"/>
    <col min="10507" max="10507" width="12.42578125" style="74" customWidth="1"/>
    <col min="10508" max="10508" width="12.28515625" style="74" customWidth="1"/>
    <col min="10509" max="10509" width="18.85546875" style="74" customWidth="1"/>
    <col min="10510" max="10510" width="28.85546875" style="74" customWidth="1"/>
    <col min="10511" max="10511" width="29.28515625" style="74" customWidth="1"/>
    <col min="10512" max="10512" width="32.140625" style="74" customWidth="1"/>
    <col min="10513" max="10513" width="47.140625" style="74" customWidth="1"/>
    <col min="10514" max="10518" width="9.140625" style="74"/>
    <col min="10519" max="10519" width="35.7109375" style="74" customWidth="1"/>
    <col min="10520" max="10520" width="18.7109375" style="74" customWidth="1"/>
    <col min="10521" max="10521" width="24.85546875" style="74" customWidth="1"/>
    <col min="10522" max="10522" width="31" style="74" customWidth="1"/>
    <col min="10523" max="10523" width="12.85546875" style="74" customWidth="1"/>
    <col min="10524" max="10524" width="18.7109375" style="74" customWidth="1"/>
    <col min="10525" max="10525" width="24.85546875" style="74" customWidth="1"/>
    <col min="10526" max="10526" width="31" style="74" customWidth="1"/>
    <col min="10527" max="10527" width="41.7109375" style="74" customWidth="1"/>
    <col min="10528" max="10753" width="9.140625" style="74"/>
    <col min="10754" max="10754" width="5.85546875" style="74" customWidth="1"/>
    <col min="10755" max="10755" width="8.28515625" style="74" customWidth="1"/>
    <col min="10756" max="10756" width="9.7109375" style="74" customWidth="1"/>
    <col min="10757" max="10758" width="9.42578125" style="74" customWidth="1"/>
    <col min="10759" max="10759" width="10.28515625" style="74" customWidth="1"/>
    <col min="10760" max="10760" width="8.7109375" style="74" customWidth="1"/>
    <col min="10761" max="10761" width="10.28515625" style="74" customWidth="1"/>
    <col min="10762" max="10762" width="11.140625" style="74" customWidth="1"/>
    <col min="10763" max="10763" width="12.42578125" style="74" customWidth="1"/>
    <col min="10764" max="10764" width="12.28515625" style="74" customWidth="1"/>
    <col min="10765" max="10765" width="18.85546875" style="74" customWidth="1"/>
    <col min="10766" max="10766" width="28.85546875" style="74" customWidth="1"/>
    <col min="10767" max="10767" width="29.28515625" style="74" customWidth="1"/>
    <col min="10768" max="10768" width="32.140625" style="74" customWidth="1"/>
    <col min="10769" max="10769" width="47.140625" style="74" customWidth="1"/>
    <col min="10770" max="10774" width="9.140625" style="74"/>
    <col min="10775" max="10775" width="35.7109375" style="74" customWidth="1"/>
    <col min="10776" max="10776" width="18.7109375" style="74" customWidth="1"/>
    <col min="10777" max="10777" width="24.85546875" style="74" customWidth="1"/>
    <col min="10778" max="10778" width="31" style="74" customWidth="1"/>
    <col min="10779" max="10779" width="12.85546875" style="74" customWidth="1"/>
    <col min="10780" max="10780" width="18.7109375" style="74" customWidth="1"/>
    <col min="10781" max="10781" width="24.85546875" style="74" customWidth="1"/>
    <col min="10782" max="10782" width="31" style="74" customWidth="1"/>
    <col min="10783" max="10783" width="41.7109375" style="74" customWidth="1"/>
    <col min="10784" max="11009" width="9.140625" style="74"/>
    <col min="11010" max="11010" width="5.85546875" style="74" customWidth="1"/>
    <col min="11011" max="11011" width="8.28515625" style="74" customWidth="1"/>
    <col min="11012" max="11012" width="9.7109375" style="74" customWidth="1"/>
    <col min="11013" max="11014" width="9.42578125" style="74" customWidth="1"/>
    <col min="11015" max="11015" width="10.28515625" style="74" customWidth="1"/>
    <col min="11016" max="11016" width="8.7109375" style="74" customWidth="1"/>
    <col min="11017" max="11017" width="10.28515625" style="74" customWidth="1"/>
    <col min="11018" max="11018" width="11.140625" style="74" customWidth="1"/>
    <col min="11019" max="11019" width="12.42578125" style="74" customWidth="1"/>
    <col min="11020" max="11020" width="12.28515625" style="74" customWidth="1"/>
    <col min="11021" max="11021" width="18.85546875" style="74" customWidth="1"/>
    <col min="11022" max="11022" width="28.85546875" style="74" customWidth="1"/>
    <col min="11023" max="11023" width="29.28515625" style="74" customWidth="1"/>
    <col min="11024" max="11024" width="32.140625" style="74" customWidth="1"/>
    <col min="11025" max="11025" width="47.140625" style="74" customWidth="1"/>
    <col min="11026" max="11030" width="9.140625" style="74"/>
    <col min="11031" max="11031" width="35.7109375" style="74" customWidth="1"/>
    <col min="11032" max="11032" width="18.7109375" style="74" customWidth="1"/>
    <col min="11033" max="11033" width="24.85546875" style="74" customWidth="1"/>
    <col min="11034" max="11034" width="31" style="74" customWidth="1"/>
    <col min="11035" max="11035" width="12.85546875" style="74" customWidth="1"/>
    <col min="11036" max="11036" width="18.7109375" style="74" customWidth="1"/>
    <col min="11037" max="11037" width="24.85546875" style="74" customWidth="1"/>
    <col min="11038" max="11038" width="31" style="74" customWidth="1"/>
    <col min="11039" max="11039" width="41.7109375" style="74" customWidth="1"/>
    <col min="11040" max="11265" width="9.140625" style="74"/>
    <col min="11266" max="11266" width="5.85546875" style="74" customWidth="1"/>
    <col min="11267" max="11267" width="8.28515625" style="74" customWidth="1"/>
    <col min="11268" max="11268" width="9.7109375" style="74" customWidth="1"/>
    <col min="11269" max="11270" width="9.42578125" style="74" customWidth="1"/>
    <col min="11271" max="11271" width="10.28515625" style="74" customWidth="1"/>
    <col min="11272" max="11272" width="8.7109375" style="74" customWidth="1"/>
    <col min="11273" max="11273" width="10.28515625" style="74" customWidth="1"/>
    <col min="11274" max="11274" width="11.140625" style="74" customWidth="1"/>
    <col min="11275" max="11275" width="12.42578125" style="74" customWidth="1"/>
    <col min="11276" max="11276" width="12.28515625" style="74" customWidth="1"/>
    <col min="11277" max="11277" width="18.85546875" style="74" customWidth="1"/>
    <col min="11278" max="11278" width="28.85546875" style="74" customWidth="1"/>
    <col min="11279" max="11279" width="29.28515625" style="74" customWidth="1"/>
    <col min="11280" max="11280" width="32.140625" style="74" customWidth="1"/>
    <col min="11281" max="11281" width="47.140625" style="74" customWidth="1"/>
    <col min="11282" max="11286" width="9.140625" style="74"/>
    <col min="11287" max="11287" width="35.7109375" style="74" customWidth="1"/>
    <col min="11288" max="11288" width="18.7109375" style="74" customWidth="1"/>
    <col min="11289" max="11289" width="24.85546875" style="74" customWidth="1"/>
    <col min="11290" max="11290" width="31" style="74" customWidth="1"/>
    <col min="11291" max="11291" width="12.85546875" style="74" customWidth="1"/>
    <col min="11292" max="11292" width="18.7109375" style="74" customWidth="1"/>
    <col min="11293" max="11293" width="24.85546875" style="74" customWidth="1"/>
    <col min="11294" max="11294" width="31" style="74" customWidth="1"/>
    <col min="11295" max="11295" width="41.7109375" style="74" customWidth="1"/>
    <col min="11296" max="11521" width="9.140625" style="74"/>
    <col min="11522" max="11522" width="5.85546875" style="74" customWidth="1"/>
    <col min="11523" max="11523" width="8.28515625" style="74" customWidth="1"/>
    <col min="11524" max="11524" width="9.7109375" style="74" customWidth="1"/>
    <col min="11525" max="11526" width="9.42578125" style="74" customWidth="1"/>
    <col min="11527" max="11527" width="10.28515625" style="74" customWidth="1"/>
    <col min="11528" max="11528" width="8.7109375" style="74" customWidth="1"/>
    <col min="11529" max="11529" width="10.28515625" style="74" customWidth="1"/>
    <col min="11530" max="11530" width="11.140625" style="74" customWidth="1"/>
    <col min="11531" max="11531" width="12.42578125" style="74" customWidth="1"/>
    <col min="11532" max="11532" width="12.28515625" style="74" customWidth="1"/>
    <col min="11533" max="11533" width="18.85546875" style="74" customWidth="1"/>
    <col min="11534" max="11534" width="28.85546875" style="74" customWidth="1"/>
    <col min="11535" max="11535" width="29.28515625" style="74" customWidth="1"/>
    <col min="11536" max="11536" width="32.140625" style="74" customWidth="1"/>
    <col min="11537" max="11537" width="47.140625" style="74" customWidth="1"/>
    <col min="11538" max="11542" width="9.140625" style="74"/>
    <col min="11543" max="11543" width="35.7109375" style="74" customWidth="1"/>
    <col min="11544" max="11544" width="18.7109375" style="74" customWidth="1"/>
    <col min="11545" max="11545" width="24.85546875" style="74" customWidth="1"/>
    <col min="11546" max="11546" width="31" style="74" customWidth="1"/>
    <col min="11547" max="11547" width="12.85546875" style="74" customWidth="1"/>
    <col min="11548" max="11548" width="18.7109375" style="74" customWidth="1"/>
    <col min="11549" max="11549" width="24.85546875" style="74" customWidth="1"/>
    <col min="11550" max="11550" width="31" style="74" customWidth="1"/>
    <col min="11551" max="11551" width="41.7109375" style="74" customWidth="1"/>
    <col min="11552" max="11777" width="9.140625" style="74"/>
    <col min="11778" max="11778" width="5.85546875" style="74" customWidth="1"/>
    <col min="11779" max="11779" width="8.28515625" style="74" customWidth="1"/>
    <col min="11780" max="11780" width="9.7109375" style="74" customWidth="1"/>
    <col min="11781" max="11782" width="9.42578125" style="74" customWidth="1"/>
    <col min="11783" max="11783" width="10.28515625" style="74" customWidth="1"/>
    <col min="11784" max="11784" width="8.7109375" style="74" customWidth="1"/>
    <col min="11785" max="11785" width="10.28515625" style="74" customWidth="1"/>
    <col min="11786" max="11786" width="11.140625" style="74" customWidth="1"/>
    <col min="11787" max="11787" width="12.42578125" style="74" customWidth="1"/>
    <col min="11788" max="11788" width="12.28515625" style="74" customWidth="1"/>
    <col min="11789" max="11789" width="18.85546875" style="74" customWidth="1"/>
    <col min="11790" max="11790" width="28.85546875" style="74" customWidth="1"/>
    <col min="11791" max="11791" width="29.28515625" style="74" customWidth="1"/>
    <col min="11792" max="11792" width="32.140625" style="74" customWidth="1"/>
    <col min="11793" max="11793" width="47.140625" style="74" customWidth="1"/>
    <col min="11794" max="11798" width="9.140625" style="74"/>
    <col min="11799" max="11799" width="35.7109375" style="74" customWidth="1"/>
    <col min="11800" max="11800" width="18.7109375" style="74" customWidth="1"/>
    <col min="11801" max="11801" width="24.85546875" style="74" customWidth="1"/>
    <col min="11802" max="11802" width="31" style="74" customWidth="1"/>
    <col min="11803" max="11803" width="12.85546875" style="74" customWidth="1"/>
    <col min="11804" max="11804" width="18.7109375" style="74" customWidth="1"/>
    <col min="11805" max="11805" width="24.85546875" style="74" customWidth="1"/>
    <col min="11806" max="11806" width="31" style="74" customWidth="1"/>
    <col min="11807" max="11807" width="41.7109375" style="74" customWidth="1"/>
    <col min="11808" max="12033" width="9.140625" style="74"/>
    <col min="12034" max="12034" width="5.85546875" style="74" customWidth="1"/>
    <col min="12035" max="12035" width="8.28515625" style="74" customWidth="1"/>
    <col min="12036" max="12036" width="9.7109375" style="74" customWidth="1"/>
    <col min="12037" max="12038" width="9.42578125" style="74" customWidth="1"/>
    <col min="12039" max="12039" width="10.28515625" style="74" customWidth="1"/>
    <col min="12040" max="12040" width="8.7109375" style="74" customWidth="1"/>
    <col min="12041" max="12041" width="10.28515625" style="74" customWidth="1"/>
    <col min="12042" max="12042" width="11.140625" style="74" customWidth="1"/>
    <col min="12043" max="12043" width="12.42578125" style="74" customWidth="1"/>
    <col min="12044" max="12044" width="12.28515625" style="74" customWidth="1"/>
    <col min="12045" max="12045" width="18.85546875" style="74" customWidth="1"/>
    <col min="12046" max="12046" width="28.85546875" style="74" customWidth="1"/>
    <col min="12047" max="12047" width="29.28515625" style="74" customWidth="1"/>
    <col min="12048" max="12048" width="32.140625" style="74" customWidth="1"/>
    <col min="12049" max="12049" width="47.140625" style="74" customWidth="1"/>
    <col min="12050" max="12054" width="9.140625" style="74"/>
    <col min="12055" max="12055" width="35.7109375" style="74" customWidth="1"/>
    <col min="12056" max="12056" width="18.7109375" style="74" customWidth="1"/>
    <col min="12057" max="12057" width="24.85546875" style="74" customWidth="1"/>
    <col min="12058" max="12058" width="31" style="74" customWidth="1"/>
    <col min="12059" max="12059" width="12.85546875" style="74" customWidth="1"/>
    <col min="12060" max="12060" width="18.7109375" style="74" customWidth="1"/>
    <col min="12061" max="12061" width="24.85546875" style="74" customWidth="1"/>
    <col min="12062" max="12062" width="31" style="74" customWidth="1"/>
    <col min="12063" max="12063" width="41.7109375" style="74" customWidth="1"/>
    <col min="12064" max="12289" width="9.140625" style="74"/>
    <col min="12290" max="12290" width="5.85546875" style="74" customWidth="1"/>
    <col min="12291" max="12291" width="8.28515625" style="74" customWidth="1"/>
    <col min="12292" max="12292" width="9.7109375" style="74" customWidth="1"/>
    <col min="12293" max="12294" width="9.42578125" style="74" customWidth="1"/>
    <col min="12295" max="12295" width="10.28515625" style="74" customWidth="1"/>
    <col min="12296" max="12296" width="8.7109375" style="74" customWidth="1"/>
    <col min="12297" max="12297" width="10.28515625" style="74" customWidth="1"/>
    <col min="12298" max="12298" width="11.140625" style="74" customWidth="1"/>
    <col min="12299" max="12299" width="12.42578125" style="74" customWidth="1"/>
    <col min="12300" max="12300" width="12.28515625" style="74" customWidth="1"/>
    <col min="12301" max="12301" width="18.85546875" style="74" customWidth="1"/>
    <col min="12302" max="12302" width="28.85546875" style="74" customWidth="1"/>
    <col min="12303" max="12303" width="29.28515625" style="74" customWidth="1"/>
    <col min="12304" max="12304" width="32.140625" style="74" customWidth="1"/>
    <col min="12305" max="12305" width="47.140625" style="74" customWidth="1"/>
    <col min="12306" max="12310" width="9.140625" style="74"/>
    <col min="12311" max="12311" width="35.7109375" style="74" customWidth="1"/>
    <col min="12312" max="12312" width="18.7109375" style="74" customWidth="1"/>
    <col min="12313" max="12313" width="24.85546875" style="74" customWidth="1"/>
    <col min="12314" max="12314" width="31" style="74" customWidth="1"/>
    <col min="12315" max="12315" width="12.85546875" style="74" customWidth="1"/>
    <col min="12316" max="12316" width="18.7109375" style="74" customWidth="1"/>
    <col min="12317" max="12317" width="24.85546875" style="74" customWidth="1"/>
    <col min="12318" max="12318" width="31" style="74" customWidth="1"/>
    <col min="12319" max="12319" width="41.7109375" style="74" customWidth="1"/>
    <col min="12320" max="12545" width="9.140625" style="74"/>
    <col min="12546" max="12546" width="5.85546875" style="74" customWidth="1"/>
    <col min="12547" max="12547" width="8.28515625" style="74" customWidth="1"/>
    <col min="12548" max="12548" width="9.7109375" style="74" customWidth="1"/>
    <col min="12549" max="12550" width="9.42578125" style="74" customWidth="1"/>
    <col min="12551" max="12551" width="10.28515625" style="74" customWidth="1"/>
    <col min="12552" max="12552" width="8.7109375" style="74" customWidth="1"/>
    <col min="12553" max="12553" width="10.28515625" style="74" customWidth="1"/>
    <col min="12554" max="12554" width="11.140625" style="74" customWidth="1"/>
    <col min="12555" max="12555" width="12.42578125" style="74" customWidth="1"/>
    <col min="12556" max="12556" width="12.28515625" style="74" customWidth="1"/>
    <col min="12557" max="12557" width="18.85546875" style="74" customWidth="1"/>
    <col min="12558" max="12558" width="28.85546875" style="74" customWidth="1"/>
    <col min="12559" max="12559" width="29.28515625" style="74" customWidth="1"/>
    <col min="12560" max="12560" width="32.140625" style="74" customWidth="1"/>
    <col min="12561" max="12561" width="47.140625" style="74" customWidth="1"/>
    <col min="12562" max="12566" width="9.140625" style="74"/>
    <col min="12567" max="12567" width="35.7109375" style="74" customWidth="1"/>
    <col min="12568" max="12568" width="18.7109375" style="74" customWidth="1"/>
    <col min="12569" max="12569" width="24.85546875" style="74" customWidth="1"/>
    <col min="12570" max="12570" width="31" style="74" customWidth="1"/>
    <col min="12571" max="12571" width="12.85546875" style="74" customWidth="1"/>
    <col min="12572" max="12572" width="18.7109375" style="74" customWidth="1"/>
    <col min="12573" max="12573" width="24.85546875" style="74" customWidth="1"/>
    <col min="12574" max="12574" width="31" style="74" customWidth="1"/>
    <col min="12575" max="12575" width="41.7109375" style="74" customWidth="1"/>
    <col min="12576" max="12801" width="9.140625" style="74"/>
    <col min="12802" max="12802" width="5.85546875" style="74" customWidth="1"/>
    <col min="12803" max="12803" width="8.28515625" style="74" customWidth="1"/>
    <col min="12804" max="12804" width="9.7109375" style="74" customWidth="1"/>
    <col min="12805" max="12806" width="9.42578125" style="74" customWidth="1"/>
    <col min="12807" max="12807" width="10.28515625" style="74" customWidth="1"/>
    <col min="12808" max="12808" width="8.7109375" style="74" customWidth="1"/>
    <col min="12809" max="12809" width="10.28515625" style="74" customWidth="1"/>
    <col min="12810" max="12810" width="11.140625" style="74" customWidth="1"/>
    <col min="12811" max="12811" width="12.42578125" style="74" customWidth="1"/>
    <col min="12812" max="12812" width="12.28515625" style="74" customWidth="1"/>
    <col min="12813" max="12813" width="18.85546875" style="74" customWidth="1"/>
    <col min="12814" max="12814" width="28.85546875" style="74" customWidth="1"/>
    <col min="12815" max="12815" width="29.28515625" style="74" customWidth="1"/>
    <col min="12816" max="12816" width="32.140625" style="74" customWidth="1"/>
    <col min="12817" max="12817" width="47.140625" style="74" customWidth="1"/>
    <col min="12818" max="12822" width="9.140625" style="74"/>
    <col min="12823" max="12823" width="35.7109375" style="74" customWidth="1"/>
    <col min="12824" max="12824" width="18.7109375" style="74" customWidth="1"/>
    <col min="12825" max="12825" width="24.85546875" style="74" customWidth="1"/>
    <col min="12826" max="12826" width="31" style="74" customWidth="1"/>
    <col min="12827" max="12827" width="12.85546875" style="74" customWidth="1"/>
    <col min="12828" max="12828" width="18.7109375" style="74" customWidth="1"/>
    <col min="12829" max="12829" width="24.85546875" style="74" customWidth="1"/>
    <col min="12830" max="12830" width="31" style="74" customWidth="1"/>
    <col min="12831" max="12831" width="41.7109375" style="74" customWidth="1"/>
    <col min="12832" max="13057" width="9.140625" style="74"/>
    <col min="13058" max="13058" width="5.85546875" style="74" customWidth="1"/>
    <col min="13059" max="13059" width="8.28515625" style="74" customWidth="1"/>
    <col min="13060" max="13060" width="9.7109375" style="74" customWidth="1"/>
    <col min="13061" max="13062" width="9.42578125" style="74" customWidth="1"/>
    <col min="13063" max="13063" width="10.28515625" style="74" customWidth="1"/>
    <col min="13064" max="13064" width="8.7109375" style="74" customWidth="1"/>
    <col min="13065" max="13065" width="10.28515625" style="74" customWidth="1"/>
    <col min="13066" max="13066" width="11.140625" style="74" customWidth="1"/>
    <col min="13067" max="13067" width="12.42578125" style="74" customWidth="1"/>
    <col min="13068" max="13068" width="12.28515625" style="74" customWidth="1"/>
    <col min="13069" max="13069" width="18.85546875" style="74" customWidth="1"/>
    <col min="13070" max="13070" width="28.85546875" style="74" customWidth="1"/>
    <col min="13071" max="13071" width="29.28515625" style="74" customWidth="1"/>
    <col min="13072" max="13072" width="32.140625" style="74" customWidth="1"/>
    <col min="13073" max="13073" width="47.140625" style="74" customWidth="1"/>
    <col min="13074" max="13078" width="9.140625" style="74"/>
    <col min="13079" max="13079" width="35.7109375" style="74" customWidth="1"/>
    <col min="13080" max="13080" width="18.7109375" style="74" customWidth="1"/>
    <col min="13081" max="13081" width="24.85546875" style="74" customWidth="1"/>
    <col min="13082" max="13082" width="31" style="74" customWidth="1"/>
    <col min="13083" max="13083" width="12.85546875" style="74" customWidth="1"/>
    <col min="13084" max="13084" width="18.7109375" style="74" customWidth="1"/>
    <col min="13085" max="13085" width="24.85546875" style="74" customWidth="1"/>
    <col min="13086" max="13086" width="31" style="74" customWidth="1"/>
    <col min="13087" max="13087" width="41.7109375" style="74" customWidth="1"/>
    <col min="13088" max="13313" width="9.140625" style="74"/>
    <col min="13314" max="13314" width="5.85546875" style="74" customWidth="1"/>
    <col min="13315" max="13315" width="8.28515625" style="74" customWidth="1"/>
    <col min="13316" max="13316" width="9.7109375" style="74" customWidth="1"/>
    <col min="13317" max="13318" width="9.42578125" style="74" customWidth="1"/>
    <col min="13319" max="13319" width="10.28515625" style="74" customWidth="1"/>
    <col min="13320" max="13320" width="8.7109375" style="74" customWidth="1"/>
    <col min="13321" max="13321" width="10.28515625" style="74" customWidth="1"/>
    <col min="13322" max="13322" width="11.140625" style="74" customWidth="1"/>
    <col min="13323" max="13323" width="12.42578125" style="74" customWidth="1"/>
    <col min="13324" max="13324" width="12.28515625" style="74" customWidth="1"/>
    <col min="13325" max="13325" width="18.85546875" style="74" customWidth="1"/>
    <col min="13326" max="13326" width="28.85546875" style="74" customWidth="1"/>
    <col min="13327" max="13327" width="29.28515625" style="74" customWidth="1"/>
    <col min="13328" max="13328" width="32.140625" style="74" customWidth="1"/>
    <col min="13329" max="13329" width="47.140625" style="74" customWidth="1"/>
    <col min="13330" max="13334" width="9.140625" style="74"/>
    <col min="13335" max="13335" width="35.7109375" style="74" customWidth="1"/>
    <col min="13336" max="13336" width="18.7109375" style="74" customWidth="1"/>
    <col min="13337" max="13337" width="24.85546875" style="74" customWidth="1"/>
    <col min="13338" max="13338" width="31" style="74" customWidth="1"/>
    <col min="13339" max="13339" width="12.85546875" style="74" customWidth="1"/>
    <col min="13340" max="13340" width="18.7109375" style="74" customWidth="1"/>
    <col min="13341" max="13341" width="24.85546875" style="74" customWidth="1"/>
    <col min="13342" max="13342" width="31" style="74" customWidth="1"/>
    <col min="13343" max="13343" width="41.7109375" style="74" customWidth="1"/>
    <col min="13344" max="13569" width="9.140625" style="74"/>
    <col min="13570" max="13570" width="5.85546875" style="74" customWidth="1"/>
    <col min="13571" max="13571" width="8.28515625" style="74" customWidth="1"/>
    <col min="13572" max="13572" width="9.7109375" style="74" customWidth="1"/>
    <col min="13573" max="13574" width="9.42578125" style="74" customWidth="1"/>
    <col min="13575" max="13575" width="10.28515625" style="74" customWidth="1"/>
    <col min="13576" max="13576" width="8.7109375" style="74" customWidth="1"/>
    <col min="13577" max="13577" width="10.28515625" style="74" customWidth="1"/>
    <col min="13578" max="13578" width="11.140625" style="74" customWidth="1"/>
    <col min="13579" max="13579" width="12.42578125" style="74" customWidth="1"/>
    <col min="13580" max="13580" width="12.28515625" style="74" customWidth="1"/>
    <col min="13581" max="13581" width="18.85546875" style="74" customWidth="1"/>
    <col min="13582" max="13582" width="28.85546875" style="74" customWidth="1"/>
    <col min="13583" max="13583" width="29.28515625" style="74" customWidth="1"/>
    <col min="13584" max="13584" width="32.140625" style="74" customWidth="1"/>
    <col min="13585" max="13585" width="47.140625" style="74" customWidth="1"/>
    <col min="13586" max="13590" width="9.140625" style="74"/>
    <col min="13591" max="13591" width="35.7109375" style="74" customWidth="1"/>
    <col min="13592" max="13592" width="18.7109375" style="74" customWidth="1"/>
    <col min="13593" max="13593" width="24.85546875" style="74" customWidth="1"/>
    <col min="13594" max="13594" width="31" style="74" customWidth="1"/>
    <col min="13595" max="13595" width="12.85546875" style="74" customWidth="1"/>
    <col min="13596" max="13596" width="18.7109375" style="74" customWidth="1"/>
    <col min="13597" max="13597" width="24.85546875" style="74" customWidth="1"/>
    <col min="13598" max="13598" width="31" style="74" customWidth="1"/>
    <col min="13599" max="13599" width="41.7109375" style="74" customWidth="1"/>
    <col min="13600" max="13825" width="9.140625" style="74"/>
    <col min="13826" max="13826" width="5.85546875" style="74" customWidth="1"/>
    <col min="13827" max="13827" width="8.28515625" style="74" customWidth="1"/>
    <col min="13828" max="13828" width="9.7109375" style="74" customWidth="1"/>
    <col min="13829" max="13830" width="9.42578125" style="74" customWidth="1"/>
    <col min="13831" max="13831" width="10.28515625" style="74" customWidth="1"/>
    <col min="13832" max="13832" width="8.7109375" style="74" customWidth="1"/>
    <col min="13833" max="13833" width="10.28515625" style="74" customWidth="1"/>
    <col min="13834" max="13834" width="11.140625" style="74" customWidth="1"/>
    <col min="13835" max="13835" width="12.42578125" style="74" customWidth="1"/>
    <col min="13836" max="13836" width="12.28515625" style="74" customWidth="1"/>
    <col min="13837" max="13837" width="18.85546875" style="74" customWidth="1"/>
    <col min="13838" max="13838" width="28.85546875" style="74" customWidth="1"/>
    <col min="13839" max="13839" width="29.28515625" style="74" customWidth="1"/>
    <col min="13840" max="13840" width="32.140625" style="74" customWidth="1"/>
    <col min="13841" max="13841" width="47.140625" style="74" customWidth="1"/>
    <col min="13842" max="13846" width="9.140625" style="74"/>
    <col min="13847" max="13847" width="35.7109375" style="74" customWidth="1"/>
    <col min="13848" max="13848" width="18.7109375" style="74" customWidth="1"/>
    <col min="13849" max="13849" width="24.85546875" style="74" customWidth="1"/>
    <col min="13850" max="13850" width="31" style="74" customWidth="1"/>
    <col min="13851" max="13851" width="12.85546875" style="74" customWidth="1"/>
    <col min="13852" max="13852" width="18.7109375" style="74" customWidth="1"/>
    <col min="13853" max="13853" width="24.85546875" style="74" customWidth="1"/>
    <col min="13854" max="13854" width="31" style="74" customWidth="1"/>
    <col min="13855" max="13855" width="41.7109375" style="74" customWidth="1"/>
    <col min="13856" max="14081" width="9.140625" style="74"/>
    <col min="14082" max="14082" width="5.85546875" style="74" customWidth="1"/>
    <col min="14083" max="14083" width="8.28515625" style="74" customWidth="1"/>
    <col min="14084" max="14084" width="9.7109375" style="74" customWidth="1"/>
    <col min="14085" max="14086" width="9.42578125" style="74" customWidth="1"/>
    <col min="14087" max="14087" width="10.28515625" style="74" customWidth="1"/>
    <col min="14088" max="14088" width="8.7109375" style="74" customWidth="1"/>
    <col min="14089" max="14089" width="10.28515625" style="74" customWidth="1"/>
    <col min="14090" max="14090" width="11.140625" style="74" customWidth="1"/>
    <col min="14091" max="14091" width="12.42578125" style="74" customWidth="1"/>
    <col min="14092" max="14092" width="12.28515625" style="74" customWidth="1"/>
    <col min="14093" max="14093" width="18.85546875" style="74" customWidth="1"/>
    <col min="14094" max="14094" width="28.85546875" style="74" customWidth="1"/>
    <col min="14095" max="14095" width="29.28515625" style="74" customWidth="1"/>
    <col min="14096" max="14096" width="32.140625" style="74" customWidth="1"/>
    <col min="14097" max="14097" width="47.140625" style="74" customWidth="1"/>
    <col min="14098" max="14102" width="9.140625" style="74"/>
    <col min="14103" max="14103" width="35.7109375" style="74" customWidth="1"/>
    <col min="14104" max="14104" width="18.7109375" style="74" customWidth="1"/>
    <col min="14105" max="14105" width="24.85546875" style="74" customWidth="1"/>
    <col min="14106" max="14106" width="31" style="74" customWidth="1"/>
    <col min="14107" max="14107" width="12.85546875" style="74" customWidth="1"/>
    <col min="14108" max="14108" width="18.7109375" style="74" customWidth="1"/>
    <col min="14109" max="14109" width="24.85546875" style="74" customWidth="1"/>
    <col min="14110" max="14110" width="31" style="74" customWidth="1"/>
    <col min="14111" max="14111" width="41.7109375" style="74" customWidth="1"/>
    <col min="14112" max="14337" width="9.140625" style="74"/>
    <col min="14338" max="14338" width="5.85546875" style="74" customWidth="1"/>
    <col min="14339" max="14339" width="8.28515625" style="74" customWidth="1"/>
    <col min="14340" max="14340" width="9.7109375" style="74" customWidth="1"/>
    <col min="14341" max="14342" width="9.42578125" style="74" customWidth="1"/>
    <col min="14343" max="14343" width="10.28515625" style="74" customWidth="1"/>
    <col min="14344" max="14344" width="8.7109375" style="74" customWidth="1"/>
    <col min="14345" max="14345" width="10.28515625" style="74" customWidth="1"/>
    <col min="14346" max="14346" width="11.140625" style="74" customWidth="1"/>
    <col min="14347" max="14347" width="12.42578125" style="74" customWidth="1"/>
    <col min="14348" max="14348" width="12.28515625" style="74" customWidth="1"/>
    <col min="14349" max="14349" width="18.85546875" style="74" customWidth="1"/>
    <col min="14350" max="14350" width="28.85546875" style="74" customWidth="1"/>
    <col min="14351" max="14351" width="29.28515625" style="74" customWidth="1"/>
    <col min="14352" max="14352" width="32.140625" style="74" customWidth="1"/>
    <col min="14353" max="14353" width="47.140625" style="74" customWidth="1"/>
    <col min="14354" max="14358" width="9.140625" style="74"/>
    <col min="14359" max="14359" width="35.7109375" style="74" customWidth="1"/>
    <col min="14360" max="14360" width="18.7109375" style="74" customWidth="1"/>
    <col min="14361" max="14361" width="24.85546875" style="74" customWidth="1"/>
    <col min="14362" max="14362" width="31" style="74" customWidth="1"/>
    <col min="14363" max="14363" width="12.85546875" style="74" customWidth="1"/>
    <col min="14364" max="14364" width="18.7109375" style="74" customWidth="1"/>
    <col min="14365" max="14365" width="24.85546875" style="74" customWidth="1"/>
    <col min="14366" max="14366" width="31" style="74" customWidth="1"/>
    <col min="14367" max="14367" width="41.7109375" style="74" customWidth="1"/>
    <col min="14368" max="14593" width="9.140625" style="74"/>
    <col min="14594" max="14594" width="5.85546875" style="74" customWidth="1"/>
    <col min="14595" max="14595" width="8.28515625" style="74" customWidth="1"/>
    <col min="14596" max="14596" width="9.7109375" style="74" customWidth="1"/>
    <col min="14597" max="14598" width="9.42578125" style="74" customWidth="1"/>
    <col min="14599" max="14599" width="10.28515625" style="74" customWidth="1"/>
    <col min="14600" max="14600" width="8.7109375" style="74" customWidth="1"/>
    <col min="14601" max="14601" width="10.28515625" style="74" customWidth="1"/>
    <col min="14602" max="14602" width="11.140625" style="74" customWidth="1"/>
    <col min="14603" max="14603" width="12.42578125" style="74" customWidth="1"/>
    <col min="14604" max="14604" width="12.28515625" style="74" customWidth="1"/>
    <col min="14605" max="14605" width="18.85546875" style="74" customWidth="1"/>
    <col min="14606" max="14606" width="28.85546875" style="74" customWidth="1"/>
    <col min="14607" max="14607" width="29.28515625" style="74" customWidth="1"/>
    <col min="14608" max="14608" width="32.140625" style="74" customWidth="1"/>
    <col min="14609" max="14609" width="47.140625" style="74" customWidth="1"/>
    <col min="14610" max="14614" width="9.140625" style="74"/>
    <col min="14615" max="14615" width="35.7109375" style="74" customWidth="1"/>
    <col min="14616" max="14616" width="18.7109375" style="74" customWidth="1"/>
    <col min="14617" max="14617" width="24.85546875" style="74" customWidth="1"/>
    <col min="14618" max="14618" width="31" style="74" customWidth="1"/>
    <col min="14619" max="14619" width="12.85546875" style="74" customWidth="1"/>
    <col min="14620" max="14620" width="18.7109375" style="74" customWidth="1"/>
    <col min="14621" max="14621" width="24.85546875" style="74" customWidth="1"/>
    <col min="14622" max="14622" width="31" style="74" customWidth="1"/>
    <col min="14623" max="14623" width="41.7109375" style="74" customWidth="1"/>
    <col min="14624" max="14849" width="9.140625" style="74"/>
    <col min="14850" max="14850" width="5.85546875" style="74" customWidth="1"/>
    <col min="14851" max="14851" width="8.28515625" style="74" customWidth="1"/>
    <col min="14852" max="14852" width="9.7109375" style="74" customWidth="1"/>
    <col min="14853" max="14854" width="9.42578125" style="74" customWidth="1"/>
    <col min="14855" max="14855" width="10.28515625" style="74" customWidth="1"/>
    <col min="14856" max="14856" width="8.7109375" style="74" customWidth="1"/>
    <col min="14857" max="14857" width="10.28515625" style="74" customWidth="1"/>
    <col min="14858" max="14858" width="11.140625" style="74" customWidth="1"/>
    <col min="14859" max="14859" width="12.42578125" style="74" customWidth="1"/>
    <col min="14860" max="14860" width="12.28515625" style="74" customWidth="1"/>
    <col min="14861" max="14861" width="18.85546875" style="74" customWidth="1"/>
    <col min="14862" max="14862" width="28.85546875" style="74" customWidth="1"/>
    <col min="14863" max="14863" width="29.28515625" style="74" customWidth="1"/>
    <col min="14864" max="14864" width="32.140625" style="74" customWidth="1"/>
    <col min="14865" max="14865" width="47.140625" style="74" customWidth="1"/>
    <col min="14866" max="14870" width="9.140625" style="74"/>
    <col min="14871" max="14871" width="35.7109375" style="74" customWidth="1"/>
    <col min="14872" max="14872" width="18.7109375" style="74" customWidth="1"/>
    <col min="14873" max="14873" width="24.85546875" style="74" customWidth="1"/>
    <col min="14874" max="14874" width="31" style="74" customWidth="1"/>
    <col min="14875" max="14875" width="12.85546875" style="74" customWidth="1"/>
    <col min="14876" max="14876" width="18.7109375" style="74" customWidth="1"/>
    <col min="14877" max="14877" width="24.85546875" style="74" customWidth="1"/>
    <col min="14878" max="14878" width="31" style="74" customWidth="1"/>
    <col min="14879" max="14879" width="41.7109375" style="74" customWidth="1"/>
    <col min="14880" max="15105" width="9.140625" style="74"/>
    <col min="15106" max="15106" width="5.85546875" style="74" customWidth="1"/>
    <col min="15107" max="15107" width="8.28515625" style="74" customWidth="1"/>
    <col min="15108" max="15108" width="9.7109375" style="74" customWidth="1"/>
    <col min="15109" max="15110" width="9.42578125" style="74" customWidth="1"/>
    <col min="15111" max="15111" width="10.28515625" style="74" customWidth="1"/>
    <col min="15112" max="15112" width="8.7109375" style="74" customWidth="1"/>
    <col min="15113" max="15113" width="10.28515625" style="74" customWidth="1"/>
    <col min="15114" max="15114" width="11.140625" style="74" customWidth="1"/>
    <col min="15115" max="15115" width="12.42578125" style="74" customWidth="1"/>
    <col min="15116" max="15116" width="12.28515625" style="74" customWidth="1"/>
    <col min="15117" max="15117" width="18.85546875" style="74" customWidth="1"/>
    <col min="15118" max="15118" width="28.85546875" style="74" customWidth="1"/>
    <col min="15119" max="15119" width="29.28515625" style="74" customWidth="1"/>
    <col min="15120" max="15120" width="32.140625" style="74" customWidth="1"/>
    <col min="15121" max="15121" width="47.140625" style="74" customWidth="1"/>
    <col min="15122" max="15126" width="9.140625" style="74"/>
    <col min="15127" max="15127" width="35.7109375" style="74" customWidth="1"/>
    <col min="15128" max="15128" width="18.7109375" style="74" customWidth="1"/>
    <col min="15129" max="15129" width="24.85546875" style="74" customWidth="1"/>
    <col min="15130" max="15130" width="31" style="74" customWidth="1"/>
    <col min="15131" max="15131" width="12.85546875" style="74" customWidth="1"/>
    <col min="15132" max="15132" width="18.7109375" style="74" customWidth="1"/>
    <col min="15133" max="15133" width="24.85546875" style="74" customWidth="1"/>
    <col min="15134" max="15134" width="31" style="74" customWidth="1"/>
    <col min="15135" max="15135" width="41.7109375" style="74" customWidth="1"/>
    <col min="15136" max="15361" width="9.140625" style="74"/>
    <col min="15362" max="15362" width="5.85546875" style="74" customWidth="1"/>
    <col min="15363" max="15363" width="8.28515625" style="74" customWidth="1"/>
    <col min="15364" max="15364" width="9.7109375" style="74" customWidth="1"/>
    <col min="15365" max="15366" width="9.42578125" style="74" customWidth="1"/>
    <col min="15367" max="15367" width="10.28515625" style="74" customWidth="1"/>
    <col min="15368" max="15368" width="8.7109375" style="74" customWidth="1"/>
    <col min="15369" max="15369" width="10.28515625" style="74" customWidth="1"/>
    <col min="15370" max="15370" width="11.140625" style="74" customWidth="1"/>
    <col min="15371" max="15371" width="12.42578125" style="74" customWidth="1"/>
    <col min="15372" max="15372" width="12.28515625" style="74" customWidth="1"/>
    <col min="15373" max="15373" width="18.85546875" style="74" customWidth="1"/>
    <col min="15374" max="15374" width="28.85546875" style="74" customWidth="1"/>
    <col min="15375" max="15375" width="29.28515625" style="74" customWidth="1"/>
    <col min="15376" max="15376" width="32.140625" style="74" customWidth="1"/>
    <col min="15377" max="15377" width="47.140625" style="74" customWidth="1"/>
    <col min="15378" max="15382" width="9.140625" style="74"/>
    <col min="15383" max="15383" width="35.7109375" style="74" customWidth="1"/>
    <col min="15384" max="15384" width="18.7109375" style="74" customWidth="1"/>
    <col min="15385" max="15385" width="24.85546875" style="74" customWidth="1"/>
    <col min="15386" max="15386" width="31" style="74" customWidth="1"/>
    <col min="15387" max="15387" width="12.85546875" style="74" customWidth="1"/>
    <col min="15388" max="15388" width="18.7109375" style="74" customWidth="1"/>
    <col min="15389" max="15389" width="24.85546875" style="74" customWidth="1"/>
    <col min="15390" max="15390" width="31" style="74" customWidth="1"/>
    <col min="15391" max="15391" width="41.7109375" style="74" customWidth="1"/>
    <col min="15392" max="15617" width="9.140625" style="74"/>
    <col min="15618" max="15618" width="5.85546875" style="74" customWidth="1"/>
    <col min="15619" max="15619" width="8.28515625" style="74" customWidth="1"/>
    <col min="15620" max="15620" width="9.7109375" style="74" customWidth="1"/>
    <col min="15621" max="15622" width="9.42578125" style="74" customWidth="1"/>
    <col min="15623" max="15623" width="10.28515625" style="74" customWidth="1"/>
    <col min="15624" max="15624" width="8.7109375" style="74" customWidth="1"/>
    <col min="15625" max="15625" width="10.28515625" style="74" customWidth="1"/>
    <col min="15626" max="15626" width="11.140625" style="74" customWidth="1"/>
    <col min="15627" max="15627" width="12.42578125" style="74" customWidth="1"/>
    <col min="15628" max="15628" width="12.28515625" style="74" customWidth="1"/>
    <col min="15629" max="15629" width="18.85546875" style="74" customWidth="1"/>
    <col min="15630" max="15630" width="28.85546875" style="74" customWidth="1"/>
    <col min="15631" max="15631" width="29.28515625" style="74" customWidth="1"/>
    <col min="15632" max="15632" width="32.140625" style="74" customWidth="1"/>
    <col min="15633" max="15633" width="47.140625" style="74" customWidth="1"/>
    <col min="15634" max="15638" width="9.140625" style="74"/>
    <col min="15639" max="15639" width="35.7109375" style="74" customWidth="1"/>
    <col min="15640" max="15640" width="18.7109375" style="74" customWidth="1"/>
    <col min="15641" max="15641" width="24.85546875" style="74" customWidth="1"/>
    <col min="15642" max="15642" width="31" style="74" customWidth="1"/>
    <col min="15643" max="15643" width="12.85546875" style="74" customWidth="1"/>
    <col min="15644" max="15644" width="18.7109375" style="74" customWidth="1"/>
    <col min="15645" max="15645" width="24.85546875" style="74" customWidth="1"/>
    <col min="15646" max="15646" width="31" style="74" customWidth="1"/>
    <col min="15647" max="15647" width="41.7109375" style="74" customWidth="1"/>
    <col min="15648" max="15873" width="9.140625" style="74"/>
    <col min="15874" max="15874" width="5.85546875" style="74" customWidth="1"/>
    <col min="15875" max="15875" width="8.28515625" style="74" customWidth="1"/>
    <col min="15876" max="15876" width="9.7109375" style="74" customWidth="1"/>
    <col min="15877" max="15878" width="9.42578125" style="74" customWidth="1"/>
    <col min="15879" max="15879" width="10.28515625" style="74" customWidth="1"/>
    <col min="15880" max="15880" width="8.7109375" style="74" customWidth="1"/>
    <col min="15881" max="15881" width="10.28515625" style="74" customWidth="1"/>
    <col min="15882" max="15882" width="11.140625" style="74" customWidth="1"/>
    <col min="15883" max="15883" width="12.42578125" style="74" customWidth="1"/>
    <col min="15884" max="15884" width="12.28515625" style="74" customWidth="1"/>
    <col min="15885" max="15885" width="18.85546875" style="74" customWidth="1"/>
    <col min="15886" max="15886" width="28.85546875" style="74" customWidth="1"/>
    <col min="15887" max="15887" width="29.28515625" style="74" customWidth="1"/>
    <col min="15888" max="15888" width="32.140625" style="74" customWidth="1"/>
    <col min="15889" max="15889" width="47.140625" style="74" customWidth="1"/>
    <col min="15890" max="15894" width="9.140625" style="74"/>
    <col min="15895" max="15895" width="35.7109375" style="74" customWidth="1"/>
    <col min="15896" max="15896" width="18.7109375" style="74" customWidth="1"/>
    <col min="15897" max="15897" width="24.85546875" style="74" customWidth="1"/>
    <col min="15898" max="15898" width="31" style="74" customWidth="1"/>
    <col min="15899" max="15899" width="12.85546875" style="74" customWidth="1"/>
    <col min="15900" max="15900" width="18.7109375" style="74" customWidth="1"/>
    <col min="15901" max="15901" width="24.85546875" style="74" customWidth="1"/>
    <col min="15902" max="15902" width="31" style="74" customWidth="1"/>
    <col min="15903" max="15903" width="41.7109375" style="74" customWidth="1"/>
    <col min="15904" max="16129" width="9.140625" style="74"/>
    <col min="16130" max="16130" width="5.85546875" style="74" customWidth="1"/>
    <col min="16131" max="16131" width="8.28515625" style="74" customWidth="1"/>
    <col min="16132" max="16132" width="9.7109375" style="74" customWidth="1"/>
    <col min="16133" max="16134" width="9.42578125" style="74" customWidth="1"/>
    <col min="16135" max="16135" width="10.28515625" style="74" customWidth="1"/>
    <col min="16136" max="16136" width="8.7109375" style="74" customWidth="1"/>
    <col min="16137" max="16137" width="10.28515625" style="74" customWidth="1"/>
    <col min="16138" max="16138" width="11.140625" style="74" customWidth="1"/>
    <col min="16139" max="16139" width="12.42578125" style="74" customWidth="1"/>
    <col min="16140" max="16140" width="12.28515625" style="74" customWidth="1"/>
    <col min="16141" max="16141" width="18.85546875" style="74" customWidth="1"/>
    <col min="16142" max="16142" width="28.85546875" style="74" customWidth="1"/>
    <col min="16143" max="16143" width="29.28515625" style="74" customWidth="1"/>
    <col min="16144" max="16144" width="32.140625" style="74" customWidth="1"/>
    <col min="16145" max="16145" width="47.140625" style="74" customWidth="1"/>
    <col min="16146" max="16150" width="9.140625" style="74"/>
    <col min="16151" max="16151" width="35.7109375" style="74" customWidth="1"/>
    <col min="16152" max="16152" width="18.7109375" style="74" customWidth="1"/>
    <col min="16153" max="16153" width="24.85546875" style="74" customWidth="1"/>
    <col min="16154" max="16154" width="31" style="74" customWidth="1"/>
    <col min="16155" max="16155" width="12.85546875" style="74" customWidth="1"/>
    <col min="16156" max="16156" width="18.7109375" style="74" customWidth="1"/>
    <col min="16157" max="16157" width="24.85546875" style="74" customWidth="1"/>
    <col min="16158" max="16158" width="31" style="74" customWidth="1"/>
    <col min="16159" max="16159" width="41.7109375" style="74" customWidth="1"/>
    <col min="16160" max="16384" width="9.140625" style="74"/>
  </cols>
  <sheetData>
    <row r="1" spans="1:31" x14ac:dyDescent="0.2">
      <c r="B1" s="115" t="s">
        <v>565</v>
      </c>
      <c r="C1" s="115" t="s">
        <v>566</v>
      </c>
      <c r="D1" s="115" t="s">
        <v>567</v>
      </c>
      <c r="E1" s="115" t="s">
        <v>568</v>
      </c>
      <c r="F1" s="115" t="s">
        <v>569</v>
      </c>
      <c r="G1" s="115" t="s">
        <v>570</v>
      </c>
      <c r="H1" s="116" t="s">
        <v>571</v>
      </c>
      <c r="I1" s="115" t="s">
        <v>572</v>
      </c>
      <c r="J1" s="115" t="s">
        <v>573</v>
      </c>
      <c r="K1" s="115" t="s">
        <v>574</v>
      </c>
      <c r="L1" s="116" t="s">
        <v>575</v>
      </c>
      <c r="M1" s="116" t="s">
        <v>576</v>
      </c>
      <c r="N1" s="116" t="s">
        <v>577</v>
      </c>
      <c r="O1" s="116" t="s">
        <v>578</v>
      </c>
      <c r="Z1" s="116" t="s">
        <v>575</v>
      </c>
      <c r="AA1" s="116" t="s">
        <v>576</v>
      </c>
      <c r="AB1" s="116"/>
      <c r="AC1" s="116" t="s">
        <v>577</v>
      </c>
      <c r="AD1" s="116" t="s">
        <v>578</v>
      </c>
      <c r="AE1" s="162" t="s">
        <v>579</v>
      </c>
    </row>
    <row r="2" spans="1:31" x14ac:dyDescent="0.2">
      <c r="A2" s="117" t="s">
        <v>3</v>
      </c>
      <c r="B2" s="115" t="s">
        <v>580</v>
      </c>
      <c r="C2" s="115" t="s">
        <v>38</v>
      </c>
      <c r="D2" s="115" t="s">
        <v>581</v>
      </c>
      <c r="E2" s="118" t="s">
        <v>582</v>
      </c>
      <c r="F2" s="118" t="s">
        <v>583</v>
      </c>
      <c r="G2" s="118" t="s">
        <v>584</v>
      </c>
      <c r="H2" s="116" t="s">
        <v>585</v>
      </c>
      <c r="I2" s="117" t="s">
        <v>586</v>
      </c>
      <c r="J2" s="118" t="s">
        <v>587</v>
      </c>
      <c r="K2" s="115" t="s">
        <v>588</v>
      </c>
      <c r="L2" s="119" t="s">
        <v>589</v>
      </c>
      <c r="M2" s="119" t="s">
        <v>590</v>
      </c>
      <c r="N2" s="119" t="s">
        <v>591</v>
      </c>
      <c r="O2" s="119" t="s">
        <v>592</v>
      </c>
      <c r="P2" s="117" t="s">
        <v>593</v>
      </c>
      <c r="Q2" s="117" t="s">
        <v>594</v>
      </c>
      <c r="R2" s="117" t="s">
        <v>595</v>
      </c>
      <c r="S2" s="117" t="s">
        <v>596</v>
      </c>
      <c r="T2" s="117" t="s">
        <v>597</v>
      </c>
      <c r="U2" s="117" t="s">
        <v>598</v>
      </c>
      <c r="V2" s="117" t="s">
        <v>599</v>
      </c>
      <c r="W2" s="74" t="s">
        <v>600</v>
      </c>
      <c r="X2" s="74" t="s">
        <v>601</v>
      </c>
      <c r="Y2" s="74" t="s">
        <v>602</v>
      </c>
      <c r="Z2" s="119" t="s">
        <v>589</v>
      </c>
      <c r="AA2" s="119" t="s">
        <v>590</v>
      </c>
      <c r="AB2" s="119" t="s">
        <v>3</v>
      </c>
      <c r="AC2" s="119" t="s">
        <v>591</v>
      </c>
      <c r="AD2" s="119" t="s">
        <v>592</v>
      </c>
      <c r="AE2" s="118" t="s">
        <v>603</v>
      </c>
    </row>
    <row r="3" spans="1:31" x14ac:dyDescent="0.2">
      <c r="A3" s="74">
        <v>1998</v>
      </c>
      <c r="B3" s="120">
        <v>0.51161116361617998</v>
      </c>
      <c r="C3" s="120">
        <v>0.348208338022232</v>
      </c>
      <c r="D3" s="120">
        <v>0.140180483460426</v>
      </c>
      <c r="E3" s="120">
        <v>0.92764067649841297</v>
      </c>
      <c r="F3" s="120">
        <v>3.8682661950588199E-2</v>
      </c>
      <c r="G3" s="120">
        <v>3.3676650375127799E-2</v>
      </c>
      <c r="H3" s="121">
        <v>103.065422058105</v>
      </c>
      <c r="L3" s="122">
        <v>7012.146484375</v>
      </c>
      <c r="M3" s="122">
        <v>12962.0732421875</v>
      </c>
      <c r="N3" s="122">
        <v>7058.20654296875</v>
      </c>
      <c r="O3" s="122">
        <v>5047.99853515625</v>
      </c>
      <c r="P3" s="123">
        <v>5474.0514088542895</v>
      </c>
      <c r="Q3" s="120">
        <v>2.8967409100089801E-2</v>
      </c>
      <c r="R3" s="120">
        <v>8.9775548503084793E-2</v>
      </c>
      <c r="S3" s="120">
        <v>0.29693374211756901</v>
      </c>
      <c r="T3" s="120">
        <v>0.61329070937934604</v>
      </c>
      <c r="U3" s="120">
        <v>1.1017867322059999E-2</v>
      </c>
      <c r="V3" s="120">
        <v>0.15732286275593999</v>
      </c>
      <c r="W3" s="124">
        <v>166300000000</v>
      </c>
      <c r="X3" s="124">
        <v>62230000000</v>
      </c>
      <c r="Y3" s="74">
        <v>0.37425330000000001</v>
      </c>
      <c r="Z3" s="123">
        <f t="shared" ref="Z3:AA15" si="0">L3*$Y3</f>
        <v>2624.3189618607421</v>
      </c>
      <c r="AA3" s="123">
        <f t="shared" si="0"/>
        <v>4851.0986857303715</v>
      </c>
      <c r="AB3" s="125">
        <v>1998</v>
      </c>
      <c r="AC3" s="123">
        <f t="shared" ref="AC3:AC15" si="1">N3*$Y3</f>
        <v>2641.5570907876468</v>
      </c>
      <c r="AD3" s="123">
        <f t="shared" ref="AD3:AD15" si="2">O3*$Y3</f>
        <v>1889.2301101773926</v>
      </c>
      <c r="AE3" s="121">
        <v>2468.8462</v>
      </c>
    </row>
    <row r="4" spans="1:31" x14ac:dyDescent="0.2">
      <c r="A4" s="74">
        <v>1999</v>
      </c>
      <c r="B4" s="120">
        <v>0.5264533162117</v>
      </c>
      <c r="C4" s="120">
        <v>0.37342333793640098</v>
      </c>
      <c r="D4" s="120">
        <v>0.100123360753059</v>
      </c>
      <c r="E4" s="120">
        <v>0.944835186004639</v>
      </c>
      <c r="F4" s="120">
        <v>0</v>
      </c>
      <c r="G4" s="120">
        <v>5.5164810270071002E-2</v>
      </c>
      <c r="H4" s="121">
        <v>37.159801483154297</v>
      </c>
      <c r="K4" s="120">
        <v>4.75113019347191E-2</v>
      </c>
      <c r="L4" s="122">
        <v>6194.6396484375</v>
      </c>
      <c r="M4" s="122">
        <v>6891.1005859375</v>
      </c>
      <c r="N4" s="122">
        <v>7308.91650390625</v>
      </c>
      <c r="O4" s="122">
        <v>5172.9033203125</v>
      </c>
      <c r="P4" s="123">
        <v>5436.80999192939</v>
      </c>
      <c r="Q4" s="120">
        <v>3.76631151007236E-2</v>
      </c>
      <c r="R4" s="120">
        <v>8.7562360537043513E-2</v>
      </c>
      <c r="S4" s="120">
        <v>0.295551817415523</v>
      </c>
      <c r="T4" s="120">
        <v>0.61688582204743303</v>
      </c>
      <c r="U4" s="120">
        <v>1.543815398957E-2</v>
      </c>
      <c r="V4" s="120">
        <v>0.15347338264708699</v>
      </c>
      <c r="W4" s="124">
        <v>174400000000</v>
      </c>
      <c r="X4" s="124">
        <v>62800000000</v>
      </c>
      <c r="Y4" s="74">
        <v>0.36005090000000001</v>
      </c>
      <c r="Z4" s="123">
        <f t="shared" si="0"/>
        <v>2230.3855805956055</v>
      </c>
      <c r="AA4" s="123">
        <f t="shared" si="0"/>
        <v>2481.1469679573243</v>
      </c>
      <c r="AB4" s="125">
        <f>AB3+1</f>
        <v>1999</v>
      </c>
      <c r="AC4" s="123">
        <f t="shared" si="1"/>
        <v>2631.5819652562991</v>
      </c>
      <c r="AD4" s="123">
        <f t="shared" si="2"/>
        <v>1862.508496091504</v>
      </c>
      <c r="AE4" s="121">
        <v>2452.0500000000002</v>
      </c>
    </row>
    <row r="5" spans="1:31" x14ac:dyDescent="0.2">
      <c r="A5" s="74">
        <v>2000</v>
      </c>
      <c r="B5" s="120">
        <v>0.58932882547378496</v>
      </c>
      <c r="C5" s="120">
        <v>0.30874675512313798</v>
      </c>
      <c r="D5" s="120">
        <v>0.101924434304237</v>
      </c>
      <c r="E5" s="120">
        <v>0.94821178913116499</v>
      </c>
      <c r="F5" s="120">
        <v>0</v>
      </c>
      <c r="G5" s="120">
        <v>5.1788203418254901E-2</v>
      </c>
      <c r="H5" s="121">
        <v>183.86972045898401</v>
      </c>
      <c r="K5" s="120">
        <v>9.8368376493453993E-2</v>
      </c>
      <c r="L5" s="122">
        <v>6747.1435546875</v>
      </c>
      <c r="M5" s="122">
        <v>11555.4052734375</v>
      </c>
      <c r="N5" s="122">
        <v>8427.0673828125</v>
      </c>
      <c r="O5" s="122">
        <v>4769.30517578125</v>
      </c>
      <c r="P5" s="123">
        <v>5513.5717792593196</v>
      </c>
      <c r="Q5" s="120">
        <v>1.5194048217715901E-2</v>
      </c>
      <c r="R5" s="120">
        <v>8.4991609467767001E-2</v>
      </c>
      <c r="S5" s="120">
        <v>0.29894080529686201</v>
      </c>
      <c r="T5" s="120">
        <v>0.61606758523537097</v>
      </c>
      <c r="U5" s="120">
        <v>2.5756331029100001E-2</v>
      </c>
      <c r="V5" s="120">
        <v>0.15809599691771301</v>
      </c>
      <c r="W5" s="124">
        <v>186100000000</v>
      </c>
      <c r="X5" s="124">
        <v>64650000000</v>
      </c>
      <c r="Y5" s="74">
        <v>0.3473367</v>
      </c>
      <c r="Z5" s="123">
        <f t="shared" si="0"/>
        <v>2343.530576711426</v>
      </c>
      <c r="AA5" s="123">
        <f t="shared" si="0"/>
        <v>4013.6163348383789</v>
      </c>
      <c r="AB5" s="125">
        <f t="shared" ref="AB5:AB15" si="3">AB4+1</f>
        <v>2000</v>
      </c>
      <c r="AC5" s="123">
        <f t="shared" si="1"/>
        <v>2927.0297754237304</v>
      </c>
      <c r="AD5" s="123">
        <f t="shared" si="2"/>
        <v>1656.5547210487794</v>
      </c>
      <c r="AE5" s="121">
        <v>2486.6702</v>
      </c>
    </row>
    <row r="6" spans="1:31" x14ac:dyDescent="0.2">
      <c r="A6" s="74">
        <v>2001</v>
      </c>
      <c r="B6" s="120">
        <v>0.55274134874343905</v>
      </c>
      <c r="C6" s="120">
        <v>0.30267238616943398</v>
      </c>
      <c r="D6" s="120">
        <v>0.14458630979061099</v>
      </c>
      <c r="E6" s="120">
        <v>0.91281992197036699</v>
      </c>
      <c r="F6" s="120">
        <v>5.4315850138664197E-2</v>
      </c>
      <c r="G6" s="120">
        <v>3.28641980886459E-2</v>
      </c>
      <c r="H6" s="121">
        <v>62.0310249328613</v>
      </c>
      <c r="K6" s="120">
        <v>0.110260061919689</v>
      </c>
      <c r="L6" s="122">
        <v>6868.74755859375</v>
      </c>
      <c r="M6" s="122">
        <v>10701.35546875</v>
      </c>
      <c r="N6" s="122">
        <v>7268.666015625</v>
      </c>
      <c r="O6" s="122">
        <v>5474.05712890625</v>
      </c>
      <c r="P6" s="123">
        <v>5447.4221100246295</v>
      </c>
      <c r="Q6" s="120">
        <v>2.1215237888527597E-2</v>
      </c>
      <c r="R6" s="120">
        <v>8.2492495560306606E-2</v>
      </c>
      <c r="S6" s="120">
        <v>0.29578790030674101</v>
      </c>
      <c r="T6" s="120">
        <v>0.62171960413295202</v>
      </c>
      <c r="U6" s="120">
        <v>1.8392422492600001E-2</v>
      </c>
      <c r="V6" s="120">
        <v>0.16003356046658901</v>
      </c>
      <c r="W6" s="124">
        <v>189200000000</v>
      </c>
      <c r="X6" s="124">
        <v>64790000000</v>
      </c>
      <c r="Y6" s="74">
        <v>0.34243240000000003</v>
      </c>
      <c r="Z6" s="123">
        <f t="shared" si="0"/>
        <v>2352.0817114833985</v>
      </c>
      <c r="AA6" s="123">
        <f t="shared" si="0"/>
        <v>3664.4908364171879</v>
      </c>
      <c r="AB6" s="125">
        <f t="shared" si="3"/>
        <v>2001</v>
      </c>
      <c r="AC6" s="123">
        <f t="shared" si="1"/>
        <v>2489.0267485289064</v>
      </c>
      <c r="AD6" s="123">
        <f t="shared" si="2"/>
        <v>1874.4945203884768</v>
      </c>
      <c r="AE6" s="121">
        <v>2456.8361</v>
      </c>
    </row>
    <row r="7" spans="1:31" x14ac:dyDescent="0.2">
      <c r="A7" s="74">
        <v>2002</v>
      </c>
      <c r="B7" s="120">
        <v>0.66610270738601696</v>
      </c>
      <c r="C7" s="120">
        <v>0.24326378107070901</v>
      </c>
      <c r="D7" s="120">
        <v>9.0633504092693301E-2</v>
      </c>
      <c r="E7" s="120">
        <v>0.89206534624099698</v>
      </c>
      <c r="F7" s="120">
        <v>5.6154724210500703E-2</v>
      </c>
      <c r="G7" s="120">
        <v>5.1779959350824398E-2</v>
      </c>
      <c r="H7" s="121">
        <v>118.827827453613</v>
      </c>
      <c r="I7" s="120">
        <v>0.12910278141498599</v>
      </c>
      <c r="J7" s="120">
        <v>0.15352807939052601</v>
      </c>
      <c r="K7" s="120">
        <v>6.2238916754722602E-2</v>
      </c>
      <c r="L7" s="122">
        <v>6365.39599609375</v>
      </c>
      <c r="M7" s="122">
        <v>9440.6767578125</v>
      </c>
      <c r="N7" s="122">
        <v>7726.85888671875</v>
      </c>
      <c r="O7" s="122">
        <v>5286.66845703125</v>
      </c>
      <c r="P7" s="123">
        <v>5644.36750617488</v>
      </c>
      <c r="Q7" s="120">
        <v>3.7973366250448302E-2</v>
      </c>
      <c r="R7" s="120">
        <v>7.8456582761417093E-2</v>
      </c>
      <c r="S7" s="120">
        <v>0.30386130211900403</v>
      </c>
      <c r="T7" s="120">
        <v>0.61768211511957904</v>
      </c>
      <c r="U7" s="120">
        <v>1.686260719675E-2</v>
      </c>
      <c r="V7" s="120">
        <v>0.16088658789673602</v>
      </c>
      <c r="W7" s="124">
        <v>199600000000</v>
      </c>
      <c r="X7" s="124">
        <v>68050000000</v>
      </c>
      <c r="Y7" s="74">
        <v>0.34082299999999999</v>
      </c>
      <c r="Z7" s="123">
        <f t="shared" si="0"/>
        <v>2169.4733595766602</v>
      </c>
      <c r="AA7" s="123">
        <f t="shared" si="0"/>
        <v>3217.5997746279295</v>
      </c>
      <c r="AB7" s="125">
        <f t="shared" si="3"/>
        <v>2002</v>
      </c>
      <c r="AC7" s="123">
        <f t="shared" si="1"/>
        <v>2633.4912263481442</v>
      </c>
      <c r="AD7" s="123">
        <f t="shared" si="2"/>
        <v>1801.8182035307616</v>
      </c>
      <c r="AE7" s="121">
        <v>2545.6603</v>
      </c>
    </row>
    <row r="8" spans="1:31" x14ac:dyDescent="0.2">
      <c r="A8" s="74">
        <v>2003</v>
      </c>
      <c r="B8" s="120">
        <v>0.689991354942322</v>
      </c>
      <c r="C8" s="120">
        <v>0.22520622611045801</v>
      </c>
      <c r="D8" s="120">
        <v>8.4802418947219904E-2</v>
      </c>
      <c r="E8" s="120">
        <v>0.88533878326416005</v>
      </c>
      <c r="F8" s="120">
        <v>5.43828755617142E-2</v>
      </c>
      <c r="G8" s="120">
        <v>6.0278315097093603E-2</v>
      </c>
      <c r="H8" s="121">
        <v>168.894119262695</v>
      </c>
      <c r="I8" s="120">
        <v>0.115454256534576</v>
      </c>
      <c r="J8" s="120">
        <v>0.14893595874309501</v>
      </c>
      <c r="K8" s="120">
        <v>7.8140415251254994E-2</v>
      </c>
      <c r="L8" s="122">
        <v>6338.16357421875</v>
      </c>
      <c r="M8" s="122">
        <v>10401.9580078125</v>
      </c>
      <c r="N8" s="122">
        <v>8508.91015625</v>
      </c>
      <c r="O8" s="122">
        <v>4937.326171875</v>
      </c>
      <c r="P8" s="123">
        <v>5797.4783423377403</v>
      </c>
      <c r="Q8" s="120">
        <v>2.1761668114142697E-2</v>
      </c>
      <c r="R8" s="120">
        <v>7.6319265188632399E-2</v>
      </c>
      <c r="S8" s="120">
        <v>0.30831133903273</v>
      </c>
      <c r="T8" s="120">
        <v>0.61536939577863703</v>
      </c>
      <c r="U8" s="120">
        <v>2.2403933265099998E-2</v>
      </c>
      <c r="V8" s="120">
        <v>0.15694416525827401</v>
      </c>
      <c r="W8" s="124">
        <v>213400000000</v>
      </c>
      <c r="X8" s="124">
        <v>70790000000</v>
      </c>
      <c r="Y8" s="74">
        <v>0.33168130000000001</v>
      </c>
      <c r="Z8" s="123">
        <f t="shared" si="0"/>
        <v>2102.2503339095215</v>
      </c>
      <c r="AA8" s="123">
        <f t="shared" si="0"/>
        <v>3450.1349545766602</v>
      </c>
      <c r="AB8" s="125">
        <f t="shared" si="3"/>
        <v>2003</v>
      </c>
      <c r="AC8" s="123">
        <f t="shared" si="1"/>
        <v>2822.2463822082032</v>
      </c>
      <c r="AD8" s="123">
        <f t="shared" si="2"/>
        <v>1637.6187632115234</v>
      </c>
      <c r="AE8" s="121">
        <v>2614.7145999999998</v>
      </c>
    </row>
    <row r="9" spans="1:31" x14ac:dyDescent="0.2">
      <c r="A9" s="74">
        <v>2004</v>
      </c>
      <c r="B9" s="120">
        <v>0.66115480661392201</v>
      </c>
      <c r="C9" s="120">
        <v>0.24366652965545699</v>
      </c>
      <c r="D9" s="120">
        <v>9.5178678631782504E-2</v>
      </c>
      <c r="E9" s="120">
        <v>0.87997871637344405</v>
      </c>
      <c r="F9" s="120">
        <v>7.7257230877876296E-2</v>
      </c>
      <c r="G9" s="120">
        <v>4.2764067649841302E-2</v>
      </c>
      <c r="H9" s="121">
        <v>114.21623992919901</v>
      </c>
      <c r="I9" s="120">
        <v>0.119281843304634</v>
      </c>
      <c r="J9" s="120">
        <v>0.15568228065967599</v>
      </c>
      <c r="K9" s="120">
        <v>0.117937974631786</v>
      </c>
      <c r="L9" s="122">
        <v>6283.64697265625</v>
      </c>
      <c r="M9" s="122">
        <v>10598.482421875</v>
      </c>
      <c r="N9" s="122">
        <v>8343.623046875</v>
      </c>
      <c r="O9" s="122">
        <v>4688.21875</v>
      </c>
      <c r="P9" s="123">
        <v>6012.6014792264104</v>
      </c>
      <c r="Q9" s="120">
        <v>2.2933498177649198E-2</v>
      </c>
      <c r="R9" s="120">
        <v>7.2885554221825397E-2</v>
      </c>
      <c r="S9" s="120">
        <v>0.32979023982972999</v>
      </c>
      <c r="T9" s="120">
        <v>0.59732420594844493</v>
      </c>
      <c r="U9" s="120">
        <v>4.2532042771656203E-2</v>
      </c>
      <c r="V9" s="120">
        <v>0.16334636913419298</v>
      </c>
      <c r="W9" s="124">
        <v>237900000000</v>
      </c>
      <c r="X9" s="124">
        <v>74310000000</v>
      </c>
      <c r="Y9" s="74">
        <v>0.31236439999999999</v>
      </c>
      <c r="Z9" s="123">
        <f t="shared" si="0"/>
        <v>1962.7876164255858</v>
      </c>
      <c r="AA9" s="123">
        <f t="shared" si="0"/>
        <v>3310.5886026195312</v>
      </c>
      <c r="AB9" s="125">
        <f t="shared" si="3"/>
        <v>2004</v>
      </c>
      <c r="AC9" s="123">
        <f t="shared" si="1"/>
        <v>2606.250806863281</v>
      </c>
      <c r="AD9" s="123">
        <f t="shared" si="2"/>
        <v>1464.4326369124999</v>
      </c>
      <c r="AE9" s="121">
        <v>2711.7370999999998</v>
      </c>
    </row>
    <row r="10" spans="1:31" x14ac:dyDescent="0.2">
      <c r="A10" s="74">
        <v>2005</v>
      </c>
      <c r="B10" s="120">
        <v>0.68547338247299205</v>
      </c>
      <c r="C10" s="120">
        <v>0.22193233668804199</v>
      </c>
      <c r="D10" s="120">
        <v>9.2594280838966397E-2</v>
      </c>
      <c r="E10" s="120">
        <v>0.87528181076049805</v>
      </c>
      <c r="F10" s="120">
        <v>6.8885773420333904E-2</v>
      </c>
      <c r="G10" s="120">
        <v>5.5832438170909902E-2</v>
      </c>
      <c r="H10" s="121">
        <v>152.70205688476599</v>
      </c>
      <c r="I10" s="120">
        <v>0.11157751083374</v>
      </c>
      <c r="J10" s="120">
        <v>0.15270595252513899</v>
      </c>
      <c r="K10" s="120">
        <v>0.14532449841499301</v>
      </c>
      <c r="L10" s="122">
        <v>5944.94482421875</v>
      </c>
      <c r="M10" s="122">
        <v>9642.05859375</v>
      </c>
      <c r="N10" s="122">
        <v>8506.5791015625</v>
      </c>
      <c r="O10" s="122">
        <v>4478.66552734375</v>
      </c>
      <c r="P10" s="123">
        <v>6349.0545937955803</v>
      </c>
      <c r="Q10" s="120">
        <v>3.2483680543836796E-2</v>
      </c>
      <c r="R10" s="120">
        <v>7.2067788814674405E-2</v>
      </c>
      <c r="S10" s="120">
        <v>0.34324497851133401</v>
      </c>
      <c r="T10" s="120">
        <v>0.58468723267399103</v>
      </c>
      <c r="U10" s="120">
        <v>6.7085578306059809E-2</v>
      </c>
      <c r="V10" s="120">
        <v>0.16395727361388399</v>
      </c>
      <c r="W10" s="124">
        <v>261700000000</v>
      </c>
      <c r="X10" s="124">
        <v>79390000000</v>
      </c>
      <c r="Y10" s="74">
        <v>0.3033981</v>
      </c>
      <c r="Z10" s="123">
        <f t="shared" si="0"/>
        <v>1803.6849642728027</v>
      </c>
      <c r="AA10" s="123">
        <f t="shared" si="0"/>
        <v>2925.3822574324217</v>
      </c>
      <c r="AB10" s="125">
        <f t="shared" si="3"/>
        <v>2005</v>
      </c>
      <c r="AC10" s="123">
        <f t="shared" si="1"/>
        <v>2580.8799369137696</v>
      </c>
      <c r="AD10" s="123">
        <f t="shared" si="2"/>
        <v>1358.8186115315918</v>
      </c>
      <c r="AE10" s="121">
        <v>2863.4805000000001</v>
      </c>
    </row>
    <row r="11" spans="1:31" x14ac:dyDescent="0.2">
      <c r="A11" s="74">
        <v>2006</v>
      </c>
      <c r="B11" s="120">
        <v>0.66005712747573897</v>
      </c>
      <c r="C11" s="120">
        <v>0.23601931333541901</v>
      </c>
      <c r="D11" s="120">
        <v>0.10392352938652</v>
      </c>
      <c r="E11" s="120">
        <v>0.87393409013748202</v>
      </c>
      <c r="F11" s="120">
        <v>7.7573493123054504E-2</v>
      </c>
      <c r="G11" s="120">
        <v>4.8492442816495902E-2</v>
      </c>
      <c r="H11" s="121">
        <v>147.830154418945</v>
      </c>
      <c r="I11" s="120">
        <v>0.115075215697289</v>
      </c>
      <c r="J11" s="120">
        <v>0.15332740545272799</v>
      </c>
      <c r="K11" s="120">
        <v>0.15475577116012601</v>
      </c>
      <c r="L11" s="122">
        <v>6902.328125</v>
      </c>
      <c r="M11" s="122">
        <v>10417.5185546875</v>
      </c>
      <c r="N11" s="122">
        <v>10224.83203125</v>
      </c>
      <c r="O11" s="122">
        <v>4944.7431640625</v>
      </c>
      <c r="P11" s="123">
        <v>6765.4840710184699</v>
      </c>
      <c r="Q11" s="120">
        <v>3.7555666089806004E-2</v>
      </c>
      <c r="R11" s="120">
        <v>6.9522718037869607E-2</v>
      </c>
      <c r="S11" s="120">
        <v>0.37016763574397499</v>
      </c>
      <c r="T11" s="120">
        <v>0.56030964621815504</v>
      </c>
      <c r="U11" s="120">
        <v>0.13456464041765201</v>
      </c>
      <c r="V11" s="120">
        <v>0.160121690167357</v>
      </c>
      <c r="W11" s="124">
        <v>302300000000</v>
      </c>
      <c r="X11" s="124">
        <v>85530000000</v>
      </c>
      <c r="Y11" s="74">
        <v>0.28297240000000001</v>
      </c>
      <c r="Z11" s="123">
        <f t="shared" si="0"/>
        <v>1953.16835511875</v>
      </c>
      <c r="AA11" s="123">
        <f t="shared" si="0"/>
        <v>2947.8702274644534</v>
      </c>
      <c r="AB11" s="125">
        <f t="shared" si="3"/>
        <v>2006</v>
      </c>
      <c r="AC11" s="123">
        <f t="shared" si="1"/>
        <v>2893.3452594796877</v>
      </c>
      <c r="AD11" s="123">
        <f t="shared" si="2"/>
        <v>1399.2258405183595</v>
      </c>
      <c r="AE11" s="121">
        <v>3051.2939000000001</v>
      </c>
    </row>
    <row r="12" spans="1:31" x14ac:dyDescent="0.2">
      <c r="A12" s="74">
        <v>2007</v>
      </c>
      <c r="B12" s="120">
        <v>0.60880607366561901</v>
      </c>
      <c r="C12" s="120">
        <v>0.30976262688636802</v>
      </c>
      <c r="D12" s="120">
        <v>8.1431284546852098E-2</v>
      </c>
      <c r="E12" s="120">
        <v>0.86581110954284701</v>
      </c>
      <c r="F12" s="120">
        <v>5.5682875216007198E-2</v>
      </c>
      <c r="G12" s="120">
        <v>7.8505992889404297E-2</v>
      </c>
      <c r="H12" s="121">
        <v>208.27619934082</v>
      </c>
      <c r="I12" s="120">
        <v>0.175177812576294</v>
      </c>
      <c r="J12" s="120">
        <v>0.22448292374610901</v>
      </c>
      <c r="K12" s="120">
        <v>0.200610086321831</v>
      </c>
      <c r="L12" s="122">
        <v>8901.5732421875</v>
      </c>
      <c r="M12" s="122">
        <v>28198.791015625</v>
      </c>
      <c r="N12" s="122">
        <v>9731.1865234375</v>
      </c>
      <c r="O12" s="122">
        <v>5466.64404296875</v>
      </c>
      <c r="P12" s="123">
        <v>7290.5351863092201</v>
      </c>
      <c r="Q12" s="120">
        <v>5.1205892562580596E-2</v>
      </c>
      <c r="R12" s="120">
        <v>7.0082297416425895E-2</v>
      </c>
      <c r="S12" s="120">
        <v>0.37069586688388706</v>
      </c>
      <c r="T12" s="120">
        <v>0.55922183569968598</v>
      </c>
      <c r="U12" s="120">
        <v>0.13860437962097899</v>
      </c>
      <c r="V12" s="120">
        <v>0.15965208855270402</v>
      </c>
      <c r="W12" s="124">
        <v>335500000000</v>
      </c>
      <c r="X12" s="124">
        <v>93150000000</v>
      </c>
      <c r="Y12" s="74">
        <v>0.27761200000000003</v>
      </c>
      <c r="Z12" s="123">
        <f t="shared" si="0"/>
        <v>2471.1835509101566</v>
      </c>
      <c r="AA12" s="123">
        <f t="shared" si="0"/>
        <v>7828.3227714296881</v>
      </c>
      <c r="AB12" s="125">
        <f t="shared" si="3"/>
        <v>2007</v>
      </c>
      <c r="AC12" s="123">
        <f t="shared" si="1"/>
        <v>2701.4941531445315</v>
      </c>
      <c r="AD12" s="123">
        <f t="shared" si="2"/>
        <v>1517.6059860566409</v>
      </c>
      <c r="AE12" s="121">
        <v>3288.0965999999999</v>
      </c>
    </row>
    <row r="13" spans="1:31" x14ac:dyDescent="0.2">
      <c r="A13" s="74">
        <v>2008</v>
      </c>
      <c r="B13" s="120">
        <v>0.605266273021698</v>
      </c>
      <c r="C13" s="120">
        <v>0.30696165561675998</v>
      </c>
      <c r="D13" s="120">
        <v>8.7772056460380596E-2</v>
      </c>
      <c r="E13" s="120">
        <v>0.83949226140975997</v>
      </c>
      <c r="F13" s="120">
        <v>9.1143861413002E-2</v>
      </c>
      <c r="G13" s="120">
        <v>6.9363884627819103E-2</v>
      </c>
      <c r="H13" s="121">
        <v>300.87408447265602</v>
      </c>
      <c r="I13" s="120">
        <v>0.18460138142108901</v>
      </c>
      <c r="J13" s="120">
        <v>0.24490751326084101</v>
      </c>
      <c r="K13" s="120">
        <v>0.207660362124443</v>
      </c>
      <c r="L13" s="122">
        <v>9940.9658203125</v>
      </c>
      <c r="M13" s="122">
        <v>24482.33984375</v>
      </c>
      <c r="N13" s="122">
        <v>11705.138671875</v>
      </c>
      <c r="O13" s="122">
        <v>6412.77099609375</v>
      </c>
      <c r="P13" s="123">
        <v>7922.1596337014998</v>
      </c>
      <c r="Q13" s="120">
        <v>5.4593137688453398E-2</v>
      </c>
      <c r="R13" s="120">
        <v>7.2352282408022897E-2</v>
      </c>
      <c r="S13" s="120">
        <v>0.36243396760156399</v>
      </c>
      <c r="T13" s="120">
        <v>0.56521374999041396</v>
      </c>
      <c r="U13" s="120">
        <v>0.12361127507278401</v>
      </c>
      <c r="V13" s="120">
        <v>0.15944564957306601</v>
      </c>
      <c r="W13" s="124">
        <v>371100000000</v>
      </c>
      <c r="X13" s="124">
        <v>102300000000</v>
      </c>
      <c r="Y13" s="74">
        <v>0.2756287</v>
      </c>
      <c r="Z13" s="123">
        <f t="shared" si="0"/>
        <v>2740.0154857971679</v>
      </c>
      <c r="AA13" s="123">
        <f t="shared" si="0"/>
        <v>6748.0355040910154</v>
      </c>
      <c r="AB13" s="125">
        <f t="shared" si="3"/>
        <v>2008</v>
      </c>
      <c r="AC13" s="123">
        <f t="shared" si="1"/>
        <v>3226.2721554486329</v>
      </c>
      <c r="AD13" s="123">
        <f t="shared" si="2"/>
        <v>1767.5437330510254</v>
      </c>
      <c r="AE13" s="121">
        <v>3572.9648999999999</v>
      </c>
    </row>
    <row r="14" spans="1:31" x14ac:dyDescent="0.2">
      <c r="A14" s="74">
        <v>2009</v>
      </c>
      <c r="B14" s="120">
        <v>0.60545247793197599</v>
      </c>
      <c r="C14" s="120">
        <v>0.30392366647720298</v>
      </c>
      <c r="D14" s="120">
        <v>9.0623855590820299E-2</v>
      </c>
      <c r="E14" s="120">
        <v>0.85501432418823198</v>
      </c>
      <c r="F14" s="120">
        <v>7.6098054647445706E-2</v>
      </c>
      <c r="G14" s="120">
        <v>6.8887636065483093E-2</v>
      </c>
      <c r="H14" s="121">
        <v>201.86996459960901</v>
      </c>
      <c r="I14" s="120">
        <v>0.187287762761116</v>
      </c>
      <c r="J14" s="120">
        <v>0.238295793533325</v>
      </c>
      <c r="K14" s="120">
        <v>0.235848888754845</v>
      </c>
      <c r="L14" s="122">
        <v>10794.580078125</v>
      </c>
      <c r="M14" s="122">
        <v>28552.177734375</v>
      </c>
      <c r="N14" s="122">
        <v>12348.87890625</v>
      </c>
      <c r="O14" s="122">
        <v>6860.89208984375</v>
      </c>
      <c r="P14" s="123">
        <v>7905.1856195640203</v>
      </c>
      <c r="Q14" s="120">
        <v>5.0665733187030895E-2</v>
      </c>
      <c r="R14" s="120">
        <v>7.3213022191240706E-2</v>
      </c>
      <c r="S14" s="120">
        <v>0.341231545679198</v>
      </c>
      <c r="T14" s="120">
        <v>0.58555543212956007</v>
      </c>
      <c r="U14" s="120">
        <v>9.1560896542031991E-2</v>
      </c>
      <c r="V14" s="120">
        <v>0.14034948332952499</v>
      </c>
      <c r="W14" s="124">
        <v>382300000000</v>
      </c>
      <c r="X14" s="124">
        <v>103200000000</v>
      </c>
      <c r="Y14" s="74">
        <v>0.26982709999999999</v>
      </c>
      <c r="Z14" s="123">
        <f t="shared" si="0"/>
        <v>2912.6702381982423</v>
      </c>
      <c r="AA14" s="123">
        <f t="shared" si="0"/>
        <v>7704.1513167509765</v>
      </c>
      <c r="AB14" s="125">
        <f t="shared" si="3"/>
        <v>2009</v>
      </c>
      <c r="AC14" s="123">
        <f t="shared" si="1"/>
        <v>3332.0621835246093</v>
      </c>
      <c r="AD14" s="123">
        <f t="shared" si="2"/>
        <v>1851.2546160154784</v>
      </c>
      <c r="AE14" s="121">
        <v>3565.3094999999998</v>
      </c>
    </row>
    <row r="15" spans="1:31" x14ac:dyDescent="0.2">
      <c r="A15" s="74">
        <v>2010</v>
      </c>
      <c r="B15" s="120">
        <v>0.59443932771682695</v>
      </c>
      <c r="C15" s="120">
        <v>0.31353807449340798</v>
      </c>
      <c r="D15" s="120">
        <v>9.2022605240345001E-2</v>
      </c>
      <c r="E15" s="120">
        <v>0.85910779237747203</v>
      </c>
      <c r="F15" s="120">
        <v>5.73091395199299E-2</v>
      </c>
      <c r="G15" s="120">
        <v>8.3583056926727295E-2</v>
      </c>
      <c r="H15" s="121">
        <v>268.60552978515602</v>
      </c>
      <c r="I15" s="120">
        <v>0.183683156967163</v>
      </c>
      <c r="J15" s="120">
        <v>0.23964102566242201</v>
      </c>
      <c r="K15" s="120">
        <v>0.245283022522926</v>
      </c>
      <c r="L15" s="122">
        <v>11131.78515625</v>
      </c>
      <c r="M15" s="122">
        <v>23704.935546875</v>
      </c>
      <c r="N15" s="122">
        <v>13911.009765625</v>
      </c>
      <c r="O15" s="122">
        <v>7128.5068359375</v>
      </c>
      <c r="P15" s="123">
        <v>8501.2843359194703</v>
      </c>
      <c r="Q15" s="120">
        <v>5.5036790698388696E-2</v>
      </c>
      <c r="R15" s="120">
        <v>6.77784805379823E-2</v>
      </c>
      <c r="S15" s="120">
        <v>0.35937794386129901</v>
      </c>
      <c r="T15" s="120">
        <v>0.57284357560071697</v>
      </c>
      <c r="U15" s="120">
        <v>0.118942395163475</v>
      </c>
      <c r="V15" s="120">
        <v>0.14449396832257</v>
      </c>
      <c r="W15" s="124">
        <v>434500000000</v>
      </c>
      <c r="X15" s="124">
        <v>112200000000</v>
      </c>
      <c r="Y15" s="74">
        <v>0.25820480000000001</v>
      </c>
      <c r="Z15" s="123">
        <f t="shared" si="0"/>
        <v>2874.2803599125</v>
      </c>
      <c r="AA15" s="123">
        <f t="shared" si="0"/>
        <v>6120.72814189375</v>
      </c>
      <c r="AB15" s="125">
        <f t="shared" si="3"/>
        <v>2010</v>
      </c>
      <c r="AC15" s="123">
        <f t="shared" si="1"/>
        <v>3591.8894943312503</v>
      </c>
      <c r="AD15" s="123">
        <f t="shared" si="2"/>
        <v>1840.6146818718751</v>
      </c>
      <c r="AE15" s="121">
        <v>3834.1552999999999</v>
      </c>
    </row>
    <row r="97" spans="2:2" x14ac:dyDescent="0.2">
      <c r="B97" s="74" t="s">
        <v>604</v>
      </c>
    </row>
  </sheetData>
  <sheetProtection selectLockedCells="1" selectUnlockedCells="1"/>
  <customSheetViews>
    <customSheetView guid="{BF4B7214-A780-4E29-8376-D0EF10A37853}" scale="90" hiddenColumns="1" topLeftCell="AB1">
      <selection activeCell="C196" sqref="C196"/>
      <pageMargins left="0.74791666666666667" right="0.74791666666666667" top="0.98402777777777772" bottom="0.98402777777777772" header="0.51180555555555551" footer="0.51180555555555551"/>
      <pageSetup firstPageNumber="0" orientation="portrait" horizontalDpi="300" verticalDpi="300" r:id="rId1"/>
      <headerFooter alignWithMargins="0"/>
    </customSheetView>
  </customSheetView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2"/>
  <headerFooter alignWithMargins="0"/>
  <ignoredErrors>
    <ignoredError sqref="AC3:AD1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D32"/>
  <sheetViews>
    <sheetView workbookViewId="0">
      <selection activeCell="A32" sqref="A32"/>
    </sheetView>
  </sheetViews>
  <sheetFormatPr defaultRowHeight="12.75" x14ac:dyDescent="0.2"/>
  <cols>
    <col min="1" max="16384" width="9.140625" style="74"/>
  </cols>
  <sheetData>
    <row r="1" spans="1:4" x14ac:dyDescent="0.2">
      <c r="A1" s="74" t="s">
        <v>2</v>
      </c>
      <c r="B1" s="74" t="s">
        <v>3</v>
      </c>
      <c r="C1" s="74" t="s">
        <v>1</v>
      </c>
      <c r="D1" s="74" t="s">
        <v>26</v>
      </c>
    </row>
    <row r="2" spans="1:4" x14ac:dyDescent="0.2">
      <c r="A2" s="74" t="s">
        <v>265</v>
      </c>
      <c r="B2" s="74">
        <v>2009</v>
      </c>
      <c r="D2" s="74">
        <v>32.146626499229541</v>
      </c>
    </row>
    <row r="3" spans="1:4" x14ac:dyDescent="0.2">
      <c r="A3" s="74" t="s">
        <v>14</v>
      </c>
      <c r="B3" s="74">
        <v>2010</v>
      </c>
      <c r="C3" s="74">
        <v>1</v>
      </c>
      <c r="D3" s="74">
        <v>38.238244481221258</v>
      </c>
    </row>
    <row r="4" spans="1:4" x14ac:dyDescent="0.2">
      <c r="A4" s="74" t="s">
        <v>142</v>
      </c>
      <c r="B4" s="74">
        <v>2010</v>
      </c>
      <c r="D4" s="74">
        <v>237.63443997185146</v>
      </c>
    </row>
    <row r="5" spans="1:4" x14ac:dyDescent="0.2">
      <c r="A5" s="74" t="s">
        <v>4</v>
      </c>
      <c r="B5" s="74">
        <v>2003</v>
      </c>
      <c r="C5" s="74">
        <v>0.71161049604415894</v>
      </c>
      <c r="D5" s="74">
        <v>297.68808290155442</v>
      </c>
    </row>
    <row r="6" spans="1:4" x14ac:dyDescent="0.2">
      <c r="A6" s="74" t="s">
        <v>15</v>
      </c>
      <c r="B6" s="74">
        <v>2010</v>
      </c>
      <c r="C6" s="74">
        <v>1</v>
      </c>
      <c r="D6" s="74">
        <v>78.507342071785274</v>
      </c>
    </row>
    <row r="7" spans="1:4" x14ac:dyDescent="0.2">
      <c r="A7" s="74" t="s">
        <v>5</v>
      </c>
      <c r="B7" s="74">
        <v>2003</v>
      </c>
      <c r="C7" s="74">
        <v>0.65146356821060181</v>
      </c>
      <c r="D7" s="74">
        <v>116.94798732274563</v>
      </c>
    </row>
    <row r="8" spans="1:4" x14ac:dyDescent="0.2">
      <c r="A8" s="74" t="s">
        <v>57</v>
      </c>
      <c r="B8" s="74">
        <v>2009</v>
      </c>
      <c r="C8" s="74">
        <v>1</v>
      </c>
      <c r="D8" s="74">
        <v>88.911764786023056</v>
      </c>
    </row>
    <row r="9" spans="1:4" x14ac:dyDescent="0.2">
      <c r="A9" s="74" t="s">
        <v>25</v>
      </c>
      <c r="B9" s="74">
        <v>2003</v>
      </c>
      <c r="C9" s="74">
        <v>0.34362933039665222</v>
      </c>
      <c r="D9" s="74">
        <v>100.5616150926439</v>
      </c>
    </row>
    <row r="10" spans="1:4" x14ac:dyDescent="0.2">
      <c r="A10" s="74" t="s">
        <v>78</v>
      </c>
      <c r="B10" s="74">
        <v>2009</v>
      </c>
      <c r="C10" s="74">
        <v>1</v>
      </c>
      <c r="D10" s="74">
        <v>106.09862035124965</v>
      </c>
    </row>
    <row r="11" spans="1:4" x14ac:dyDescent="0.2">
      <c r="A11" s="74" t="s">
        <v>6</v>
      </c>
      <c r="B11" s="74">
        <v>2006</v>
      </c>
      <c r="C11" s="74">
        <v>0.32608696818351746</v>
      </c>
      <c r="D11" s="74">
        <v>18.34587812936434</v>
      </c>
    </row>
    <row r="12" spans="1:4" x14ac:dyDescent="0.2">
      <c r="A12" s="74" t="s">
        <v>6</v>
      </c>
      <c r="B12" s="74">
        <v>2009</v>
      </c>
      <c r="C12" s="74">
        <v>1</v>
      </c>
      <c r="D12" s="74">
        <v>57.729927062988281</v>
      </c>
    </row>
    <row r="13" spans="1:4" x14ac:dyDescent="0.2">
      <c r="A13" s="74" t="s">
        <v>17</v>
      </c>
      <c r="B13" s="74">
        <v>2010</v>
      </c>
      <c r="C13" s="74">
        <v>1</v>
      </c>
      <c r="D13" s="74">
        <v>69.777316730546758</v>
      </c>
    </row>
    <row r="14" spans="1:4" x14ac:dyDescent="0.2">
      <c r="A14" s="74" t="s">
        <v>319</v>
      </c>
      <c r="B14" s="74">
        <v>2008</v>
      </c>
      <c r="D14" s="74">
        <v>239.45357142857142</v>
      </c>
    </row>
    <row r="15" spans="1:4" x14ac:dyDescent="0.2">
      <c r="A15" s="74" t="s">
        <v>7</v>
      </c>
      <c r="B15" s="74">
        <v>2003</v>
      </c>
      <c r="C15" s="74">
        <v>0.74005305767059326</v>
      </c>
      <c r="D15" s="74">
        <v>113.91445635863893</v>
      </c>
    </row>
    <row r="16" spans="1:4" x14ac:dyDescent="0.2">
      <c r="A16" s="74" t="s">
        <v>7</v>
      </c>
      <c r="B16" s="74">
        <v>2010</v>
      </c>
      <c r="D16" s="74">
        <v>154.34433985768624</v>
      </c>
    </row>
    <row r="17" spans="1:4" x14ac:dyDescent="0.2">
      <c r="A17" s="74" t="s">
        <v>8</v>
      </c>
      <c r="B17" s="74">
        <v>2002</v>
      </c>
      <c r="C17" s="74">
        <v>0.8928571343421936</v>
      </c>
      <c r="D17" s="74">
        <v>97.583333333333329</v>
      </c>
    </row>
    <row r="18" spans="1:4" x14ac:dyDescent="0.2">
      <c r="A18" s="74" t="s">
        <v>9</v>
      </c>
      <c r="B18" s="74">
        <v>2003</v>
      </c>
      <c r="C18" s="74">
        <v>0.63849765062332153</v>
      </c>
      <c r="D18" s="74">
        <v>587.16250000000002</v>
      </c>
    </row>
    <row r="19" spans="1:4" x14ac:dyDescent="0.2">
      <c r="A19" s="74" t="s">
        <v>10</v>
      </c>
      <c r="B19" s="74">
        <v>2003</v>
      </c>
      <c r="C19" s="74">
        <v>0.70967739820480347</v>
      </c>
      <c r="D19" s="74">
        <v>148.6258064516129</v>
      </c>
    </row>
    <row r="20" spans="1:4" x14ac:dyDescent="0.2">
      <c r="A20" s="74" t="s">
        <v>53</v>
      </c>
      <c r="B20" s="74">
        <v>2010</v>
      </c>
      <c r="C20" s="74">
        <v>1</v>
      </c>
      <c r="D20" s="74">
        <v>34.122395836881232</v>
      </c>
    </row>
    <row r="21" spans="1:4" x14ac:dyDescent="0.2">
      <c r="A21" s="74" t="s">
        <v>54</v>
      </c>
      <c r="B21" s="74">
        <v>2009</v>
      </c>
      <c r="D21" s="74">
        <v>41.63356809347448</v>
      </c>
    </row>
    <row r="22" spans="1:4" x14ac:dyDescent="0.2">
      <c r="A22" s="74" t="s">
        <v>11</v>
      </c>
      <c r="B22" s="74">
        <v>2005</v>
      </c>
      <c r="C22" s="74">
        <v>0.5116279125213623</v>
      </c>
      <c r="D22" s="74">
        <v>42.018867600638913</v>
      </c>
    </row>
    <row r="23" spans="1:4" x14ac:dyDescent="0.2">
      <c r="A23" s="74" t="s">
        <v>74</v>
      </c>
      <c r="B23" s="74">
        <v>2003</v>
      </c>
      <c r="C23" s="74">
        <v>0.86792451143264771</v>
      </c>
      <c r="D23" s="74">
        <v>194.45283018867926</v>
      </c>
    </row>
    <row r="24" spans="1:4" x14ac:dyDescent="0.2">
      <c r="A24" s="74" t="s">
        <v>116</v>
      </c>
      <c r="B24" s="74">
        <v>2010</v>
      </c>
      <c r="D24" s="74">
        <v>205.58481163724827</v>
      </c>
    </row>
    <row r="25" spans="1:4" x14ac:dyDescent="0.2">
      <c r="A25" s="74" t="s">
        <v>23</v>
      </c>
      <c r="B25" s="74">
        <v>2011</v>
      </c>
      <c r="C25" s="74">
        <v>1</v>
      </c>
      <c r="D25" s="74">
        <v>73.086469268286095</v>
      </c>
    </row>
    <row r="26" spans="1:4" x14ac:dyDescent="0.2">
      <c r="A26" s="74" t="s">
        <v>69</v>
      </c>
      <c r="B26" s="74">
        <v>2003</v>
      </c>
      <c r="C26" s="74">
        <v>0.48469388484954834</v>
      </c>
      <c r="D26" s="74">
        <v>91.300848441666332</v>
      </c>
    </row>
    <row r="27" spans="1:4" x14ac:dyDescent="0.2">
      <c r="A27" s="74" t="s">
        <v>12</v>
      </c>
      <c r="B27" s="74">
        <v>2003</v>
      </c>
      <c r="C27" s="74">
        <v>0.64367818832397461</v>
      </c>
      <c r="D27" s="74">
        <v>82.556026330101957</v>
      </c>
    </row>
    <row r="28" spans="1:4" x14ac:dyDescent="0.2">
      <c r="A28" s="74" t="s">
        <v>13</v>
      </c>
      <c r="B28" s="74">
        <v>2003</v>
      </c>
      <c r="C28" s="74">
        <v>0.34196892380714417</v>
      </c>
      <c r="D28" s="74">
        <v>71.383419689119165</v>
      </c>
    </row>
    <row r="32" spans="1:4" x14ac:dyDescent="0.2">
      <c r="A32" s="74" t="s">
        <v>1026</v>
      </c>
    </row>
  </sheetData>
  <customSheetViews>
    <customSheetView guid="{BF4B7214-A780-4E29-8376-D0EF10A37853}" state="hidden">
      <selection activeCell="A32" sqref="A32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32"/>
  <sheetViews>
    <sheetView workbookViewId="0">
      <selection activeCell="A32" sqref="A32"/>
    </sheetView>
  </sheetViews>
  <sheetFormatPr defaultRowHeight="12.75" x14ac:dyDescent="0.2"/>
  <cols>
    <col min="1" max="16384" width="9.140625" style="74"/>
  </cols>
  <sheetData>
    <row r="1" spans="1:5" ht="15" x14ac:dyDescent="0.25">
      <c r="A1" t="s">
        <v>2</v>
      </c>
      <c r="B1" t="s">
        <v>3</v>
      </c>
      <c r="C1" t="s">
        <v>264</v>
      </c>
      <c r="D1" t="s">
        <v>607</v>
      </c>
      <c r="E1"/>
    </row>
    <row r="2" spans="1:5" ht="15" x14ac:dyDescent="0.25">
      <c r="A2" t="s">
        <v>265</v>
      </c>
      <c r="B2">
        <v>2009</v>
      </c>
      <c r="C2">
        <v>37417.46484375</v>
      </c>
      <c r="D2">
        <v>56870.99609375</v>
      </c>
      <c r="E2"/>
    </row>
    <row r="3" spans="1:5" ht="15" x14ac:dyDescent="0.25">
      <c r="A3" t="s">
        <v>14</v>
      </c>
      <c r="B3">
        <v>2010</v>
      </c>
      <c r="C3">
        <v>9905.80078125</v>
      </c>
      <c r="D3">
        <v>15451.330078125</v>
      </c>
      <c r="E3"/>
    </row>
    <row r="4" spans="1:5" ht="15" x14ac:dyDescent="0.25">
      <c r="A4" t="s">
        <v>142</v>
      </c>
      <c r="B4">
        <v>2010</v>
      </c>
      <c r="C4">
        <v>1937.626708984375</v>
      </c>
      <c r="D4">
        <v>2502.443115234375</v>
      </c>
      <c r="E4"/>
    </row>
    <row r="5" spans="1:5" ht="15" x14ac:dyDescent="0.25">
      <c r="A5" t="s">
        <v>4</v>
      </c>
      <c r="B5">
        <v>2003</v>
      </c>
      <c r="C5">
        <v>1584.25146484375</v>
      </c>
      <c r="D5">
        <v>4101.22705078125</v>
      </c>
      <c r="E5"/>
    </row>
    <row r="6" spans="1:5" ht="15" x14ac:dyDescent="0.25">
      <c r="A6" t="s">
        <v>15</v>
      </c>
      <c r="B6">
        <v>2010</v>
      </c>
      <c r="C6">
        <v>4230.01416015625</v>
      </c>
      <c r="D6">
        <v>5576.23974609375</v>
      </c>
      <c r="E6"/>
    </row>
    <row r="7" spans="1:5" ht="15" x14ac:dyDescent="0.25">
      <c r="A7" t="s">
        <v>5</v>
      </c>
      <c r="B7">
        <v>2003</v>
      </c>
      <c r="C7">
        <v>7901.8681640625</v>
      </c>
      <c r="D7">
        <v>13373.4599609375</v>
      </c>
      <c r="E7"/>
    </row>
    <row r="8" spans="1:5" ht="15" x14ac:dyDescent="0.25">
      <c r="A8" t="s">
        <v>57</v>
      </c>
      <c r="B8">
        <v>2009</v>
      </c>
      <c r="C8">
        <v>19031.732421875</v>
      </c>
      <c r="D8">
        <v>51907.58203125</v>
      </c>
      <c r="E8"/>
    </row>
    <row r="9" spans="1:5" ht="15" x14ac:dyDescent="0.25">
      <c r="A9" t="s">
        <v>25</v>
      </c>
      <c r="B9">
        <v>2003</v>
      </c>
      <c r="C9">
        <v>2415.090576171875</v>
      </c>
      <c r="D9">
        <v>4131.82421875</v>
      </c>
      <c r="E9"/>
    </row>
    <row r="10" spans="1:5" ht="15" x14ac:dyDescent="0.25">
      <c r="A10" t="s">
        <v>78</v>
      </c>
      <c r="B10">
        <v>2009</v>
      </c>
      <c r="C10">
        <v>12776.595703125</v>
      </c>
      <c r="D10">
        <v>17458.287109375</v>
      </c>
      <c r="E10"/>
    </row>
    <row r="11" spans="1:5" ht="15" x14ac:dyDescent="0.25">
      <c r="A11" t="s">
        <v>6</v>
      </c>
      <c r="B11">
        <v>2006</v>
      </c>
      <c r="C11">
        <v>6247.1796875</v>
      </c>
      <c r="D11">
        <v>9266.1552734375</v>
      </c>
      <c r="E11"/>
    </row>
    <row r="12" spans="1:5" ht="15" x14ac:dyDescent="0.25">
      <c r="A12" t="s">
        <v>6</v>
      </c>
      <c r="B12">
        <v>2009</v>
      </c>
      <c r="C12">
        <v>36097.64453125</v>
      </c>
      <c r="D12">
        <v>47085.328125</v>
      </c>
      <c r="E12"/>
    </row>
    <row r="13" spans="1:5" ht="15" x14ac:dyDescent="0.25">
      <c r="A13" t="s">
        <v>17</v>
      </c>
      <c r="B13">
        <v>2010</v>
      </c>
      <c r="C13">
        <v>3753.49267578125</v>
      </c>
      <c r="D13">
        <v>5532.4814453125</v>
      </c>
      <c r="E13"/>
    </row>
    <row r="14" spans="1:5" ht="15" x14ac:dyDescent="0.25">
      <c r="A14" t="s">
        <v>319</v>
      </c>
      <c r="B14">
        <v>2008</v>
      </c>
      <c r="C14">
        <v>2947.053466796875</v>
      </c>
      <c r="D14">
        <v>4841.44482421875</v>
      </c>
      <c r="E14"/>
    </row>
    <row r="15" spans="1:5" ht="15" x14ac:dyDescent="0.25">
      <c r="A15" t="s">
        <v>7</v>
      </c>
      <c r="B15">
        <v>2003</v>
      </c>
      <c r="C15">
        <v>1924.60107421875</v>
      </c>
      <c r="D15">
        <v>4143.44482421875</v>
      </c>
      <c r="E15"/>
    </row>
    <row r="16" spans="1:5" ht="15" x14ac:dyDescent="0.25">
      <c r="A16" t="s">
        <v>7</v>
      </c>
      <c r="B16">
        <v>2010</v>
      </c>
      <c r="C16">
        <v>2675.93505859375</v>
      </c>
      <c r="D16">
        <v>3334.51513671875</v>
      </c>
      <c r="E16"/>
    </row>
    <row r="17" spans="1:5" ht="15" x14ac:dyDescent="0.25">
      <c r="A17" t="s">
        <v>8</v>
      </c>
      <c r="B17">
        <v>2002</v>
      </c>
      <c r="C17">
        <v>3118.3955078125</v>
      </c>
      <c r="D17">
        <v>6334.87646484375</v>
      </c>
      <c r="E17"/>
    </row>
    <row r="18" spans="1:5" ht="15" x14ac:dyDescent="0.25">
      <c r="A18" t="s">
        <v>9</v>
      </c>
      <c r="B18">
        <v>2003</v>
      </c>
      <c r="C18">
        <v>2768.63330078125</v>
      </c>
      <c r="D18">
        <v>5449.3876953125</v>
      </c>
      <c r="E18"/>
    </row>
    <row r="19" spans="1:5" ht="15" x14ac:dyDescent="0.25">
      <c r="A19" t="s">
        <v>10</v>
      </c>
      <c r="B19">
        <v>2003</v>
      </c>
      <c r="C19">
        <v>3687.610107421875</v>
      </c>
      <c r="D19">
        <v>6505.025390625</v>
      </c>
      <c r="E19"/>
    </row>
    <row r="20" spans="1:5" ht="15" x14ac:dyDescent="0.25">
      <c r="A20" t="s">
        <v>53</v>
      </c>
      <c r="B20">
        <v>2010</v>
      </c>
      <c r="C20">
        <v>4095.55322265625</v>
      </c>
      <c r="D20">
        <v>5875.708984375</v>
      </c>
      <c r="E20"/>
    </row>
    <row r="21" spans="1:5" ht="15" x14ac:dyDescent="0.25">
      <c r="A21" t="s">
        <v>54</v>
      </c>
      <c r="B21">
        <v>2009</v>
      </c>
      <c r="C21">
        <v>4769.0888671875</v>
      </c>
      <c r="D21">
        <v>10344.876953125</v>
      </c>
      <c r="E21"/>
    </row>
    <row r="22" spans="1:5" ht="15" x14ac:dyDescent="0.25">
      <c r="A22" t="s">
        <v>11</v>
      </c>
      <c r="B22">
        <v>2005</v>
      </c>
      <c r="C22">
        <v>12624.357421875</v>
      </c>
      <c r="D22">
        <v>13811.6494140625</v>
      </c>
      <c r="E22"/>
    </row>
    <row r="23" spans="1:5" ht="15" x14ac:dyDescent="0.25">
      <c r="A23" t="s">
        <v>74</v>
      </c>
      <c r="B23">
        <v>2003</v>
      </c>
      <c r="C23">
        <v>2381.677001953125</v>
      </c>
      <c r="D23">
        <v>3683.391845703125</v>
      </c>
      <c r="E23"/>
    </row>
    <row r="24" spans="1:5" ht="15" x14ac:dyDescent="0.25">
      <c r="A24" t="s">
        <v>116</v>
      </c>
      <c r="B24">
        <v>2010</v>
      </c>
      <c r="C24">
        <v>5135.36767578125</v>
      </c>
      <c r="D24">
        <v>7460.57763671875</v>
      </c>
      <c r="E24"/>
    </row>
    <row r="25" spans="1:5" ht="15" x14ac:dyDescent="0.25">
      <c r="A25" t="s">
        <v>23</v>
      </c>
      <c r="B25">
        <v>2011</v>
      </c>
      <c r="C25">
        <v>1290.1427001953125</v>
      </c>
      <c r="D25">
        <v>4340.630859375</v>
      </c>
      <c r="E25"/>
    </row>
    <row r="26" spans="1:5" ht="15" x14ac:dyDescent="0.25">
      <c r="A26" t="s">
        <v>69</v>
      </c>
      <c r="B26">
        <v>2003</v>
      </c>
      <c r="C26">
        <v>3604.744140625</v>
      </c>
      <c r="D26">
        <v>6246.33642578125</v>
      </c>
      <c r="E26"/>
    </row>
    <row r="27" spans="1:5" ht="15" x14ac:dyDescent="0.25">
      <c r="A27" t="s">
        <v>12</v>
      </c>
      <c r="B27">
        <v>2003</v>
      </c>
      <c r="C27">
        <v>1521.7054443359375</v>
      </c>
      <c r="D27">
        <v>2655.957275390625</v>
      </c>
      <c r="E27"/>
    </row>
    <row r="28" spans="1:5" ht="15" x14ac:dyDescent="0.25">
      <c r="A28" t="s">
        <v>13</v>
      </c>
      <c r="B28">
        <v>2003</v>
      </c>
      <c r="C28">
        <v>3547.262939453125</v>
      </c>
      <c r="D28">
        <v>6524.572265625</v>
      </c>
      <c r="E28"/>
    </row>
    <row r="32" spans="1:5" x14ac:dyDescent="0.2">
      <c r="A32" s="74" t="s">
        <v>1026</v>
      </c>
    </row>
  </sheetData>
  <customSheetViews>
    <customSheetView guid="{BF4B7214-A780-4E29-8376-D0EF10A37853}" state="hidden">
      <selection activeCell="A32" sqref="A32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32"/>
  <sheetViews>
    <sheetView workbookViewId="0">
      <selection activeCell="F34" sqref="F34"/>
    </sheetView>
  </sheetViews>
  <sheetFormatPr defaultRowHeight="12.75" x14ac:dyDescent="0.2"/>
  <cols>
    <col min="1" max="16384" width="9.140625" style="74"/>
  </cols>
  <sheetData>
    <row r="1" spans="1:5" ht="15" x14ac:dyDescent="0.25">
      <c r="A1" t="s">
        <v>2</v>
      </c>
      <c r="B1" t="s">
        <v>3</v>
      </c>
      <c r="C1" t="s">
        <v>264</v>
      </c>
      <c r="D1" t="s">
        <v>607</v>
      </c>
      <c r="E1" t="s">
        <v>1028</v>
      </c>
    </row>
    <row r="2" spans="1:5" ht="15" x14ac:dyDescent="0.25">
      <c r="A2" t="s">
        <v>265</v>
      </c>
      <c r="B2">
        <v>2009</v>
      </c>
      <c r="C2">
        <v>70515.7265625</v>
      </c>
      <c r="D2">
        <v>100914.5859375</v>
      </c>
      <c r="E2">
        <v>26419.962890625</v>
      </c>
    </row>
    <row r="3" spans="1:5" ht="15" x14ac:dyDescent="0.25">
      <c r="A3" t="s">
        <v>14</v>
      </c>
      <c r="B3">
        <v>2010</v>
      </c>
      <c r="C3">
        <v>105458.203125</v>
      </c>
      <c r="D3">
        <v>127400.90625</v>
      </c>
      <c r="E3">
        <v>8185.15234375</v>
      </c>
    </row>
    <row r="4" spans="1:5" ht="15" x14ac:dyDescent="0.25">
      <c r="A4" t="s">
        <v>142</v>
      </c>
      <c r="B4">
        <v>2010</v>
      </c>
      <c r="C4">
        <v>43823.1015625</v>
      </c>
      <c r="D4">
        <v>100241.1171875</v>
      </c>
      <c r="E4">
        <v>23895.517578125</v>
      </c>
    </row>
    <row r="5" spans="1:5" ht="15" x14ac:dyDescent="0.25">
      <c r="A5" t="s">
        <v>4</v>
      </c>
      <c r="B5">
        <v>2003</v>
      </c>
      <c r="C5">
        <v>8530.8662109375</v>
      </c>
      <c r="D5">
        <v>31860.330078125</v>
      </c>
      <c r="E5">
        <v>4068.02001953125</v>
      </c>
    </row>
    <row r="6" spans="1:5" ht="15" x14ac:dyDescent="0.25">
      <c r="A6" t="s">
        <v>15</v>
      </c>
      <c r="B6">
        <v>2010</v>
      </c>
      <c r="C6">
        <v>30050.69921875</v>
      </c>
      <c r="D6">
        <v>78107.9296875</v>
      </c>
      <c r="E6">
        <v>14430.228515625</v>
      </c>
    </row>
    <row r="7" spans="1:5" ht="15" x14ac:dyDescent="0.25">
      <c r="A7" t="s">
        <v>5</v>
      </c>
      <c r="B7">
        <v>2003</v>
      </c>
      <c r="C7">
        <v>27568.14453125</v>
      </c>
      <c r="D7">
        <v>71770.03125</v>
      </c>
      <c r="E7">
        <v>17825.99609375</v>
      </c>
    </row>
    <row r="8" spans="1:5" ht="15" x14ac:dyDescent="0.25">
      <c r="A8" t="s">
        <v>57</v>
      </c>
      <c r="B8">
        <v>2009</v>
      </c>
      <c r="C8">
        <v>121129.2578125</v>
      </c>
      <c r="D8">
        <v>148168.578125</v>
      </c>
      <c r="E8">
        <v>17276.28125</v>
      </c>
    </row>
    <row r="9" spans="1:5" ht="15" x14ac:dyDescent="0.25">
      <c r="A9" t="s">
        <v>25</v>
      </c>
      <c r="B9">
        <v>2003</v>
      </c>
      <c r="C9">
        <v>8620.3740234375</v>
      </c>
      <c r="D9">
        <v>19079.677734375</v>
      </c>
      <c r="E9">
        <v>3654.962158203125</v>
      </c>
    </row>
    <row r="10" spans="1:5" ht="15" x14ac:dyDescent="0.25">
      <c r="A10" t="s">
        <v>78</v>
      </c>
      <c r="B10">
        <v>2009</v>
      </c>
      <c r="C10">
        <v>38173.40625</v>
      </c>
      <c r="D10">
        <v>114598.6171875</v>
      </c>
      <c r="E10">
        <v>27958.36328125</v>
      </c>
    </row>
    <row r="11" spans="1:5" ht="15" x14ac:dyDescent="0.25">
      <c r="A11" t="s">
        <v>6</v>
      </c>
      <c r="B11">
        <v>2006</v>
      </c>
      <c r="C11">
        <v>9191.9462890625</v>
      </c>
      <c r="D11">
        <v>20964.521484375</v>
      </c>
      <c r="E11">
        <v>4859.1044921875</v>
      </c>
    </row>
    <row r="12" spans="1:5" ht="15" x14ac:dyDescent="0.25">
      <c r="A12" t="s">
        <v>6</v>
      </c>
      <c r="B12">
        <v>2009</v>
      </c>
      <c r="C12">
        <v>51546.1953125</v>
      </c>
      <c r="D12">
        <v>71186.78125</v>
      </c>
      <c r="E12">
        <v>8062.7099609375</v>
      </c>
    </row>
    <row r="13" spans="1:5" ht="15" x14ac:dyDescent="0.25">
      <c r="A13" t="s">
        <v>17</v>
      </c>
      <c r="B13">
        <v>2010</v>
      </c>
      <c r="C13">
        <v>344411.75</v>
      </c>
      <c r="D13">
        <v>1696349.5</v>
      </c>
      <c r="E13">
        <v>132329</v>
      </c>
    </row>
    <row r="14" spans="1:5" ht="15" x14ac:dyDescent="0.25">
      <c r="A14" t="s">
        <v>319</v>
      </c>
      <c r="B14">
        <v>2008</v>
      </c>
      <c r="C14">
        <v>25514.693359375</v>
      </c>
      <c r="D14">
        <v>108042.0625</v>
      </c>
      <c r="E14"/>
    </row>
    <row r="15" spans="1:5" ht="15" x14ac:dyDescent="0.25">
      <c r="A15" t="s">
        <v>7</v>
      </c>
      <c r="B15">
        <v>2003</v>
      </c>
      <c r="C15">
        <v>13085.2470703125</v>
      </c>
      <c r="D15">
        <v>34099.8671875</v>
      </c>
      <c r="E15">
        <v>10717.064453125</v>
      </c>
    </row>
    <row r="16" spans="1:5" ht="15" x14ac:dyDescent="0.25">
      <c r="A16" t="s">
        <v>7</v>
      </c>
      <c r="B16">
        <v>2010</v>
      </c>
      <c r="C16">
        <v>39346.76953125</v>
      </c>
      <c r="D16">
        <v>90083.1328125</v>
      </c>
      <c r="E16">
        <v>19157.26171875</v>
      </c>
    </row>
    <row r="17" spans="1:5" ht="15" x14ac:dyDescent="0.25">
      <c r="A17" t="s">
        <v>8</v>
      </c>
      <c r="B17">
        <v>2002</v>
      </c>
      <c r="C17">
        <v>17569.01171875</v>
      </c>
      <c r="D17">
        <v>55479.73046875</v>
      </c>
      <c r="E17">
        <v>6914.33544921875</v>
      </c>
    </row>
    <row r="18" spans="1:5" ht="15" x14ac:dyDescent="0.25">
      <c r="A18" t="s">
        <v>9</v>
      </c>
      <c r="B18">
        <v>2003</v>
      </c>
      <c r="C18">
        <v>17834.126953125</v>
      </c>
      <c r="D18">
        <v>96833.1328125</v>
      </c>
      <c r="E18">
        <v>24030.123046875</v>
      </c>
    </row>
    <row r="19" spans="1:5" ht="15" x14ac:dyDescent="0.25">
      <c r="A19" t="s">
        <v>10</v>
      </c>
      <c r="B19">
        <v>2003</v>
      </c>
      <c r="C19">
        <v>35844.55859375</v>
      </c>
      <c r="D19">
        <v>149936.015625</v>
      </c>
      <c r="E19">
        <v>18244.408203125</v>
      </c>
    </row>
    <row r="20" spans="1:5" ht="15" x14ac:dyDescent="0.25">
      <c r="A20" t="s">
        <v>53</v>
      </c>
      <c r="B20">
        <v>2010</v>
      </c>
      <c r="C20">
        <v>21846.849609375</v>
      </c>
      <c r="D20">
        <v>31438.279296875</v>
      </c>
      <c r="E20">
        <v>3552.83837890625</v>
      </c>
    </row>
    <row r="21" spans="1:5" ht="15" x14ac:dyDescent="0.25">
      <c r="A21" t="s">
        <v>54</v>
      </c>
      <c r="B21">
        <v>2009</v>
      </c>
      <c r="C21">
        <v>18299.419921875</v>
      </c>
      <c r="D21">
        <v>60284.98828125</v>
      </c>
      <c r="E21">
        <v>13232.5751953125</v>
      </c>
    </row>
    <row r="22" spans="1:5" ht="15" x14ac:dyDescent="0.25">
      <c r="A22" t="s">
        <v>11</v>
      </c>
      <c r="B22">
        <v>2005</v>
      </c>
      <c r="C22">
        <v>322051.125</v>
      </c>
      <c r="D22">
        <v>383862.0625</v>
      </c>
      <c r="E22">
        <v>32268.73828125</v>
      </c>
    </row>
    <row r="23" spans="1:5" ht="15" x14ac:dyDescent="0.25">
      <c r="A23" t="s">
        <v>74</v>
      </c>
      <c r="B23">
        <v>2003</v>
      </c>
      <c r="C23">
        <v>33029.01953125</v>
      </c>
      <c r="D23">
        <v>84938.6796875</v>
      </c>
      <c r="E23">
        <v>12317.6845703125</v>
      </c>
    </row>
    <row r="24" spans="1:5" ht="15" x14ac:dyDescent="0.25">
      <c r="A24" t="s">
        <v>116</v>
      </c>
      <c r="B24">
        <v>2010</v>
      </c>
      <c r="C24">
        <v>41633.05859375</v>
      </c>
      <c r="D24">
        <v>115926.0546875</v>
      </c>
      <c r="E24">
        <v>19550.9765625</v>
      </c>
    </row>
    <row r="25" spans="1:5" ht="15" x14ac:dyDescent="0.25">
      <c r="A25" t="s">
        <v>23</v>
      </c>
      <c r="B25">
        <v>2011</v>
      </c>
      <c r="C25">
        <v>46876</v>
      </c>
      <c r="D25">
        <v>78503.671875</v>
      </c>
      <c r="E25">
        <v>13922.6240234375</v>
      </c>
    </row>
    <row r="26" spans="1:5" ht="15" x14ac:dyDescent="0.25">
      <c r="A26" t="s">
        <v>69</v>
      </c>
      <c r="B26">
        <v>2003</v>
      </c>
      <c r="C26">
        <v>26043.349609375</v>
      </c>
      <c r="D26">
        <v>79389.4296875</v>
      </c>
      <c r="E26">
        <v>11064.0537109375</v>
      </c>
    </row>
    <row r="27" spans="1:5" ht="15" x14ac:dyDescent="0.25">
      <c r="A27" t="s">
        <v>12</v>
      </c>
      <c r="B27">
        <v>2003</v>
      </c>
      <c r="C27">
        <v>20682.337890625</v>
      </c>
      <c r="D27">
        <v>52746.6015625</v>
      </c>
      <c r="E27">
        <v>7950.01220703125</v>
      </c>
    </row>
    <row r="28" spans="1:5" ht="15" x14ac:dyDescent="0.25">
      <c r="A28" t="s">
        <v>13</v>
      </c>
      <c r="B28">
        <v>2003</v>
      </c>
      <c r="C28">
        <v>23334.47265625</v>
      </c>
      <c r="D28">
        <v>65494.94140625</v>
      </c>
      <c r="E28">
        <v>14590.11328125</v>
      </c>
    </row>
    <row r="32" spans="1:5" x14ac:dyDescent="0.2">
      <c r="A32" s="74" t="s">
        <v>1026</v>
      </c>
    </row>
  </sheetData>
  <customSheetViews>
    <customSheetView guid="{BF4B7214-A780-4E29-8376-D0EF10A37853}" state="hidden">
      <selection activeCell="F34" sqref="F34"/>
      <pageMargins left="0.75" right="0.75" top="1" bottom="1" header="0.5" footer="0.5"/>
      <headerFooter alignWithMargins="0"/>
    </customSheetView>
  </customSheetView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217"/>
  <sheetViews>
    <sheetView view="pageBreakPreview" topLeftCell="A189" zoomScale="85" zoomScaleNormal="100" zoomScaleSheetLayoutView="85" workbookViewId="0">
      <selection activeCell="Y44" sqref="Y44"/>
    </sheetView>
  </sheetViews>
  <sheetFormatPr defaultRowHeight="15" x14ac:dyDescent="0.25"/>
  <cols>
    <col min="1" max="1" width="27.140625" customWidth="1"/>
    <col min="2" max="2" width="15" style="35" customWidth="1"/>
    <col min="3" max="3" width="23.42578125" style="40" customWidth="1"/>
    <col min="4" max="4" width="17.140625" style="40" customWidth="1"/>
    <col min="5" max="5" width="18.85546875" style="40" customWidth="1"/>
    <col min="6" max="6" width="18.85546875" style="71" hidden="1" customWidth="1"/>
    <col min="7" max="7" width="24" style="40" customWidth="1"/>
    <col min="8" max="8" width="17.5703125" hidden="1" customWidth="1"/>
    <col min="9" max="9" width="20.5703125" customWidth="1"/>
  </cols>
  <sheetData>
    <row r="1" spans="1:9" hidden="1" x14ac:dyDescent="0.25">
      <c r="A1" s="4"/>
      <c r="B1" s="41"/>
      <c r="C1" s="177" t="s">
        <v>48</v>
      </c>
      <c r="D1" s="177"/>
      <c r="E1" s="177"/>
      <c r="F1" s="177"/>
      <c r="G1" s="177"/>
      <c r="H1" s="50"/>
      <c r="I1" s="50"/>
    </row>
    <row r="2" spans="1:9" hidden="1" x14ac:dyDescent="0.25">
      <c r="A2" s="8" t="s">
        <v>2</v>
      </c>
      <c r="B2" s="42" t="s">
        <v>228</v>
      </c>
      <c r="C2" s="7" t="s">
        <v>199</v>
      </c>
      <c r="D2" s="7" t="s">
        <v>0</v>
      </c>
      <c r="E2" s="7" t="s">
        <v>200</v>
      </c>
      <c r="F2" s="7" t="s">
        <v>254</v>
      </c>
      <c r="G2" s="7" t="s">
        <v>198</v>
      </c>
      <c r="H2" s="9" t="s">
        <v>197</v>
      </c>
      <c r="I2" s="7" t="s">
        <v>201</v>
      </c>
    </row>
    <row r="3" spans="1:9" hidden="1" x14ac:dyDescent="0.25">
      <c r="A3" s="5" t="s">
        <v>12</v>
      </c>
      <c r="B3" s="13">
        <v>573.72726999999998</v>
      </c>
      <c r="C3" s="12">
        <v>35</v>
      </c>
      <c r="D3" s="12">
        <v>38.981349999999999</v>
      </c>
      <c r="E3" s="6">
        <v>8.4</v>
      </c>
      <c r="F3" s="6" t="s">
        <v>28</v>
      </c>
      <c r="G3" s="71" t="s">
        <v>28</v>
      </c>
      <c r="H3" s="17">
        <v>59.04</v>
      </c>
      <c r="I3" s="71">
        <v>1.537585</v>
      </c>
    </row>
    <row r="4" spans="1:9" hidden="1" x14ac:dyDescent="0.25">
      <c r="A4" s="5" t="s">
        <v>50</v>
      </c>
      <c r="B4" s="13">
        <v>599.18182000000002</v>
      </c>
      <c r="C4" s="12">
        <v>36</v>
      </c>
      <c r="D4" s="12">
        <v>30.741800000000001</v>
      </c>
      <c r="E4" s="12">
        <v>84.6</v>
      </c>
      <c r="F4" s="12" t="s">
        <v>28</v>
      </c>
      <c r="G4" s="71" t="s">
        <v>28</v>
      </c>
      <c r="H4" s="17">
        <v>41.64</v>
      </c>
      <c r="I4" s="71">
        <v>0.41736600000000001</v>
      </c>
    </row>
    <row r="5" spans="1:9" hidden="1" x14ac:dyDescent="0.25">
      <c r="A5" s="5" t="s">
        <v>51</v>
      </c>
      <c r="B5" s="13">
        <v>623.90908999999999</v>
      </c>
      <c r="C5" s="12" t="s">
        <v>28</v>
      </c>
      <c r="D5" s="12" t="s">
        <v>28</v>
      </c>
      <c r="E5" s="12" t="s">
        <v>28</v>
      </c>
      <c r="F5" s="12" t="s">
        <v>28</v>
      </c>
      <c r="G5" s="71" t="s">
        <v>28</v>
      </c>
      <c r="H5" s="17">
        <v>43.36</v>
      </c>
      <c r="I5" s="71" t="s">
        <v>28</v>
      </c>
    </row>
    <row r="6" spans="1:9" hidden="1" x14ac:dyDescent="0.25">
      <c r="A6" s="5" t="s">
        <v>17</v>
      </c>
      <c r="B6" s="13">
        <v>666.09091000000001</v>
      </c>
      <c r="C6" s="12" t="s">
        <v>28</v>
      </c>
      <c r="D6" s="12">
        <v>37.637169999999998</v>
      </c>
      <c r="E6" s="12" t="s">
        <v>28</v>
      </c>
      <c r="F6" s="12">
        <v>52</v>
      </c>
      <c r="G6" s="71" t="s">
        <v>28</v>
      </c>
      <c r="H6" s="17">
        <v>49.54</v>
      </c>
      <c r="I6" s="71" t="s">
        <v>28</v>
      </c>
    </row>
    <row r="7" spans="1:9" hidden="1" x14ac:dyDescent="0.25">
      <c r="A7" s="5" t="s">
        <v>16</v>
      </c>
      <c r="B7" s="13">
        <v>668.90908999999999</v>
      </c>
      <c r="C7" s="12">
        <v>34</v>
      </c>
      <c r="D7" s="12">
        <v>15.668519999999999</v>
      </c>
      <c r="E7" s="12" t="s">
        <v>28</v>
      </c>
      <c r="F7" s="12">
        <v>36</v>
      </c>
      <c r="G7" s="71" t="s">
        <v>28</v>
      </c>
      <c r="H7" s="17">
        <v>38.46</v>
      </c>
      <c r="I7" s="53" t="s">
        <v>28</v>
      </c>
    </row>
    <row r="8" spans="1:9" hidden="1" x14ac:dyDescent="0.25">
      <c r="A8" s="5" t="s">
        <v>11</v>
      </c>
      <c r="B8" s="13">
        <v>721.63635999999997</v>
      </c>
      <c r="C8" s="12" t="s">
        <v>28</v>
      </c>
      <c r="D8" s="12">
        <v>13.09259</v>
      </c>
      <c r="E8" s="12" t="s">
        <v>28</v>
      </c>
      <c r="F8" s="12" t="s">
        <v>28</v>
      </c>
      <c r="G8" s="71" t="s">
        <v>28</v>
      </c>
      <c r="H8" s="17">
        <v>43.32</v>
      </c>
      <c r="I8" s="53" t="s">
        <v>28</v>
      </c>
    </row>
    <row r="9" spans="1:9" hidden="1" x14ac:dyDescent="0.25">
      <c r="A9" s="5" t="s">
        <v>56</v>
      </c>
      <c r="B9" s="13">
        <v>840.27273000000002</v>
      </c>
      <c r="C9" s="12">
        <v>40</v>
      </c>
      <c r="D9" s="12">
        <v>5.9391639999999999</v>
      </c>
      <c r="E9" s="12">
        <v>43.7</v>
      </c>
      <c r="F9" s="12" t="s">
        <v>28</v>
      </c>
      <c r="G9" s="71" t="s">
        <v>28</v>
      </c>
      <c r="H9" s="17">
        <v>40.94</v>
      </c>
      <c r="I9" s="71">
        <v>0.97819979999999995</v>
      </c>
    </row>
    <row r="10" spans="1:9" hidden="1" x14ac:dyDescent="0.25">
      <c r="A10" s="5" t="s">
        <v>72</v>
      </c>
      <c r="B10" s="13">
        <v>851.09091000000001</v>
      </c>
      <c r="C10" s="12" t="s">
        <v>28</v>
      </c>
      <c r="D10" s="12" t="s">
        <v>28</v>
      </c>
      <c r="E10" s="12">
        <v>58</v>
      </c>
      <c r="F10" s="12">
        <v>41</v>
      </c>
      <c r="G10" s="71" t="s">
        <v>28</v>
      </c>
      <c r="H10" s="17">
        <v>28.08</v>
      </c>
      <c r="I10" s="71">
        <v>1.0112019999999999</v>
      </c>
    </row>
    <row r="11" spans="1:9" hidden="1" x14ac:dyDescent="0.25">
      <c r="A11" s="5" t="s">
        <v>20</v>
      </c>
      <c r="B11" s="13">
        <v>858.45455000000004</v>
      </c>
      <c r="C11" s="12" t="s">
        <v>28</v>
      </c>
      <c r="D11" s="12">
        <v>28.792079999999999</v>
      </c>
      <c r="E11" s="12" t="s">
        <v>28</v>
      </c>
      <c r="F11" s="12">
        <v>48</v>
      </c>
      <c r="G11" s="71" t="s">
        <v>28</v>
      </c>
      <c r="H11" s="17" t="s">
        <v>28</v>
      </c>
      <c r="I11" s="53" t="s">
        <v>28</v>
      </c>
    </row>
    <row r="12" spans="1:9" hidden="1" x14ac:dyDescent="0.25">
      <c r="A12" s="5" t="s">
        <v>53</v>
      </c>
      <c r="B12" s="13">
        <v>860.45455000000004</v>
      </c>
      <c r="C12" s="12">
        <v>38</v>
      </c>
      <c r="D12" s="12">
        <v>22.778479999999998</v>
      </c>
      <c r="E12" s="12">
        <v>71.400000000000006</v>
      </c>
      <c r="F12" s="12">
        <v>84</v>
      </c>
      <c r="G12" s="71" t="s">
        <v>28</v>
      </c>
      <c r="H12" s="17">
        <v>43.62</v>
      </c>
      <c r="I12" s="71" t="s">
        <v>28</v>
      </c>
    </row>
    <row r="13" spans="1:9" hidden="1" x14ac:dyDescent="0.25">
      <c r="A13" s="5" t="s">
        <v>63</v>
      </c>
      <c r="B13" s="13">
        <v>861.63635999999997</v>
      </c>
      <c r="C13" s="12">
        <v>45</v>
      </c>
      <c r="D13" s="12">
        <v>16.136990000000001</v>
      </c>
      <c r="E13" s="12">
        <v>59.7</v>
      </c>
      <c r="F13" s="12">
        <v>18</v>
      </c>
      <c r="G13" s="71" t="s">
        <v>28</v>
      </c>
      <c r="H13" s="17">
        <v>49.78</v>
      </c>
      <c r="I13" s="53">
        <v>5.676355</v>
      </c>
    </row>
    <row r="14" spans="1:9" hidden="1" x14ac:dyDescent="0.25">
      <c r="A14" s="5" t="s">
        <v>49</v>
      </c>
      <c r="B14" s="13">
        <v>883.81817999999998</v>
      </c>
      <c r="C14" s="12">
        <v>34</v>
      </c>
      <c r="D14" s="12" t="s">
        <v>28</v>
      </c>
      <c r="E14" s="12">
        <v>41.5</v>
      </c>
      <c r="F14" s="12">
        <v>68</v>
      </c>
      <c r="G14" s="71" t="s">
        <v>28</v>
      </c>
      <c r="H14" s="17">
        <v>41.7</v>
      </c>
      <c r="I14" s="53" t="s">
        <v>28</v>
      </c>
    </row>
    <row r="15" spans="1:9" hidden="1" x14ac:dyDescent="0.25">
      <c r="A15" s="5" t="s">
        <v>66</v>
      </c>
      <c r="B15" s="13">
        <v>914.72726999999998</v>
      </c>
      <c r="C15" s="12">
        <v>36</v>
      </c>
      <c r="D15" s="12" t="s">
        <v>28</v>
      </c>
      <c r="E15" s="12" t="s">
        <v>28</v>
      </c>
      <c r="F15" s="12" t="s">
        <v>28</v>
      </c>
      <c r="G15" s="71">
        <v>76</v>
      </c>
      <c r="H15" s="17">
        <v>59</v>
      </c>
      <c r="I15" s="53" t="s">
        <v>28</v>
      </c>
    </row>
    <row r="16" spans="1:9" hidden="1" x14ac:dyDescent="0.25">
      <c r="A16" s="5" t="s">
        <v>55</v>
      </c>
      <c r="B16" s="13">
        <v>929.81817999999998</v>
      </c>
      <c r="C16" s="12">
        <v>38</v>
      </c>
      <c r="D16" s="12" t="s">
        <v>28</v>
      </c>
      <c r="E16" s="12" t="s">
        <v>28</v>
      </c>
      <c r="F16" s="12">
        <v>47</v>
      </c>
      <c r="G16" s="71" t="s">
        <v>28</v>
      </c>
      <c r="H16" s="17">
        <v>42.08</v>
      </c>
      <c r="I16" s="53" t="s">
        <v>28</v>
      </c>
    </row>
    <row r="17" spans="1:9" hidden="1" x14ac:dyDescent="0.25">
      <c r="A17" s="5" t="s">
        <v>229</v>
      </c>
      <c r="B17" s="13">
        <v>965.18182000000002</v>
      </c>
      <c r="C17" s="12">
        <v>29</v>
      </c>
      <c r="D17" s="12">
        <v>27.685890000000001</v>
      </c>
      <c r="E17" s="12" t="s">
        <v>28</v>
      </c>
      <c r="F17" s="12" t="s">
        <v>28</v>
      </c>
      <c r="G17" s="71" t="s">
        <v>28</v>
      </c>
      <c r="H17" s="17" t="s">
        <v>28</v>
      </c>
      <c r="I17" s="71" t="s">
        <v>28</v>
      </c>
    </row>
    <row r="18" spans="1:9" hidden="1" x14ac:dyDescent="0.25">
      <c r="A18" s="5" t="s">
        <v>62</v>
      </c>
      <c r="B18" s="13">
        <v>1005.4545000000001</v>
      </c>
      <c r="C18" s="12">
        <v>42</v>
      </c>
      <c r="D18" s="12">
        <v>15.87013</v>
      </c>
      <c r="E18" s="12" t="s">
        <v>28</v>
      </c>
      <c r="F18" s="12">
        <v>89</v>
      </c>
      <c r="G18" s="71" t="s">
        <v>28</v>
      </c>
      <c r="H18" s="17">
        <v>48.74</v>
      </c>
      <c r="I18" s="53" t="s">
        <v>28</v>
      </c>
    </row>
    <row r="19" spans="1:9" hidden="1" x14ac:dyDescent="0.25">
      <c r="A19" s="5" t="s">
        <v>23</v>
      </c>
      <c r="B19" s="13">
        <v>1025.7273</v>
      </c>
      <c r="C19" s="12" t="s">
        <v>28</v>
      </c>
      <c r="D19" s="12">
        <v>18.914290000000001</v>
      </c>
      <c r="E19" s="12" t="s">
        <v>28</v>
      </c>
      <c r="F19" s="12" t="s">
        <v>28</v>
      </c>
      <c r="G19" s="71" t="s">
        <v>28</v>
      </c>
      <c r="H19" s="17">
        <v>41.58</v>
      </c>
      <c r="I19" s="71" t="s">
        <v>28</v>
      </c>
    </row>
    <row r="20" spans="1:9" hidden="1" x14ac:dyDescent="0.25">
      <c r="A20" s="5" t="s">
        <v>52</v>
      </c>
      <c r="B20" s="13">
        <v>1033.0908999999999</v>
      </c>
      <c r="C20" s="12">
        <v>41</v>
      </c>
      <c r="D20" s="12" t="s">
        <v>28</v>
      </c>
      <c r="E20" s="12">
        <v>65.599999999999994</v>
      </c>
      <c r="F20" s="12">
        <v>72</v>
      </c>
      <c r="G20" s="71" t="s">
        <v>28</v>
      </c>
      <c r="H20" s="17">
        <v>47.5</v>
      </c>
      <c r="I20" s="71" t="s">
        <v>28</v>
      </c>
    </row>
    <row r="21" spans="1:9" hidden="1" x14ac:dyDescent="0.25">
      <c r="A21" s="5" t="s">
        <v>57</v>
      </c>
      <c r="B21" s="13">
        <v>1062.9091000000001</v>
      </c>
      <c r="C21" s="12">
        <v>36</v>
      </c>
      <c r="D21" s="12">
        <v>22.34646</v>
      </c>
      <c r="E21" s="12">
        <v>26.3</v>
      </c>
      <c r="F21" s="12">
        <v>70</v>
      </c>
      <c r="G21" s="71" t="s">
        <v>28</v>
      </c>
      <c r="H21" s="17">
        <v>42.84</v>
      </c>
      <c r="I21" s="71" t="s">
        <v>28</v>
      </c>
    </row>
    <row r="22" spans="1:9" hidden="1" x14ac:dyDescent="0.25">
      <c r="A22" s="5" t="s">
        <v>10</v>
      </c>
      <c r="B22" s="13">
        <v>1094.8181999999999</v>
      </c>
      <c r="C22" s="12">
        <v>33</v>
      </c>
      <c r="D22" s="12">
        <v>14.525510000000001</v>
      </c>
      <c r="E22" s="12" t="s">
        <v>28</v>
      </c>
      <c r="F22" s="12">
        <v>61</v>
      </c>
      <c r="G22" s="71" t="s">
        <v>28</v>
      </c>
      <c r="H22" s="17">
        <v>35.119999999999997</v>
      </c>
      <c r="I22" s="71">
        <v>3.268799</v>
      </c>
    </row>
    <row r="23" spans="1:9" hidden="1" x14ac:dyDescent="0.25">
      <c r="A23" s="5" t="s">
        <v>208</v>
      </c>
      <c r="B23" s="13">
        <v>1100</v>
      </c>
      <c r="C23" s="12" t="s">
        <v>28</v>
      </c>
      <c r="D23" s="12" t="s">
        <v>28</v>
      </c>
      <c r="E23" s="12">
        <v>30.7</v>
      </c>
      <c r="F23" s="12" t="s">
        <v>28</v>
      </c>
      <c r="G23" s="71" t="s">
        <v>28</v>
      </c>
      <c r="H23" s="17" t="s">
        <v>28</v>
      </c>
      <c r="I23" s="71" t="s">
        <v>28</v>
      </c>
    </row>
    <row r="24" spans="1:9" hidden="1" x14ac:dyDescent="0.25">
      <c r="A24" s="5" t="s">
        <v>208</v>
      </c>
      <c r="B24" s="13">
        <v>1100</v>
      </c>
      <c r="C24" s="12" t="s">
        <v>28</v>
      </c>
      <c r="D24" s="12" t="s">
        <v>28</v>
      </c>
      <c r="E24" s="12">
        <v>30.7</v>
      </c>
      <c r="F24" s="12" t="s">
        <v>28</v>
      </c>
      <c r="G24" s="71" t="s">
        <v>28</v>
      </c>
      <c r="H24" s="17" t="s">
        <v>28</v>
      </c>
      <c r="I24" s="71" t="s">
        <v>28</v>
      </c>
    </row>
    <row r="25" spans="1:9" hidden="1" x14ac:dyDescent="0.25">
      <c r="A25" s="5" t="s">
        <v>88</v>
      </c>
      <c r="B25" s="13">
        <v>1113.5454999999999</v>
      </c>
      <c r="C25" s="12" t="s">
        <v>28</v>
      </c>
      <c r="D25" s="12" t="s">
        <v>28</v>
      </c>
      <c r="E25" s="12" t="s">
        <v>28</v>
      </c>
      <c r="F25" s="12">
        <v>39</v>
      </c>
      <c r="G25" s="71" t="s">
        <v>28</v>
      </c>
      <c r="H25" s="17">
        <v>49.8</v>
      </c>
      <c r="I25" s="53">
        <v>8.9646659999999994</v>
      </c>
    </row>
    <row r="26" spans="1:9" hidden="1" x14ac:dyDescent="0.25">
      <c r="A26" s="5" t="s">
        <v>232</v>
      </c>
      <c r="B26" s="13">
        <v>1126.5454999999999</v>
      </c>
      <c r="C26" s="12" t="s">
        <v>28</v>
      </c>
      <c r="D26" s="12">
        <v>15.13461</v>
      </c>
      <c r="E26" s="12" t="s">
        <v>28</v>
      </c>
      <c r="F26" s="12" t="s">
        <v>28</v>
      </c>
      <c r="G26" s="71" t="s">
        <v>28</v>
      </c>
      <c r="H26" s="17" t="s">
        <v>28</v>
      </c>
      <c r="I26" s="71" t="s">
        <v>28</v>
      </c>
    </row>
    <row r="27" spans="1:9" hidden="1" x14ac:dyDescent="0.25">
      <c r="A27" s="5" t="s">
        <v>58</v>
      </c>
      <c r="B27" s="13">
        <v>1179.8181999999999</v>
      </c>
      <c r="C27" s="12" t="s">
        <v>28</v>
      </c>
      <c r="D27" s="12" t="s">
        <v>28</v>
      </c>
      <c r="E27" s="12" t="s">
        <v>28</v>
      </c>
      <c r="F27" s="12">
        <v>58</v>
      </c>
      <c r="G27" s="71" t="s">
        <v>28</v>
      </c>
      <c r="H27" s="17">
        <v>45.8</v>
      </c>
      <c r="I27" s="71" t="s">
        <v>28</v>
      </c>
    </row>
    <row r="28" spans="1:9" hidden="1" x14ac:dyDescent="0.25">
      <c r="A28" s="5" t="s">
        <v>18</v>
      </c>
      <c r="B28" s="13">
        <v>1213.5083</v>
      </c>
      <c r="C28" s="12">
        <v>31</v>
      </c>
      <c r="D28" s="12">
        <v>67.434910000000002</v>
      </c>
      <c r="E28" s="12" t="s">
        <v>28</v>
      </c>
      <c r="F28" s="12">
        <v>52</v>
      </c>
      <c r="G28" s="71" t="s">
        <v>28</v>
      </c>
      <c r="H28" s="17" t="s">
        <v>28</v>
      </c>
      <c r="I28" s="53" t="s">
        <v>28</v>
      </c>
    </row>
    <row r="29" spans="1:9" hidden="1" x14ac:dyDescent="0.25">
      <c r="A29" s="5" t="s">
        <v>13</v>
      </c>
      <c r="B29" s="13">
        <v>1224.7273</v>
      </c>
      <c r="C29" s="12">
        <v>38</v>
      </c>
      <c r="D29" s="12">
        <v>34.522019999999998</v>
      </c>
      <c r="E29" s="12">
        <v>59.4</v>
      </c>
      <c r="F29" s="12" t="s">
        <v>28</v>
      </c>
      <c r="G29" s="71" t="s">
        <v>28</v>
      </c>
      <c r="H29" s="17">
        <v>44.76</v>
      </c>
      <c r="I29" s="71">
        <v>3.091942</v>
      </c>
    </row>
    <row r="30" spans="1:9" hidden="1" x14ac:dyDescent="0.25">
      <c r="A30" s="5" t="s">
        <v>54</v>
      </c>
      <c r="B30" s="13">
        <v>1361.5454999999999</v>
      </c>
      <c r="C30" s="12">
        <v>36</v>
      </c>
      <c r="D30" s="12" t="s">
        <v>28</v>
      </c>
      <c r="E30" s="12" t="s">
        <v>28</v>
      </c>
      <c r="F30" s="12">
        <v>59</v>
      </c>
      <c r="G30" s="71" t="s">
        <v>28</v>
      </c>
      <c r="H30" s="17">
        <v>39.68</v>
      </c>
      <c r="I30" s="71" t="s">
        <v>28</v>
      </c>
    </row>
    <row r="31" spans="1:9" hidden="1" x14ac:dyDescent="0.25">
      <c r="A31" s="5" t="s">
        <v>59</v>
      </c>
      <c r="B31" s="13">
        <v>1405.7273</v>
      </c>
      <c r="C31" s="12" t="s">
        <v>28</v>
      </c>
      <c r="D31" s="12" t="s">
        <v>28</v>
      </c>
      <c r="E31" s="12" t="s">
        <v>28</v>
      </c>
      <c r="F31" s="12">
        <v>68</v>
      </c>
      <c r="G31" s="71" t="s">
        <v>28</v>
      </c>
      <c r="H31" s="17">
        <v>38.94</v>
      </c>
      <c r="I31" s="71" t="s">
        <v>28</v>
      </c>
    </row>
    <row r="32" spans="1:9" hidden="1" x14ac:dyDescent="0.25">
      <c r="A32" s="5" t="s">
        <v>69</v>
      </c>
      <c r="B32" s="13">
        <v>1505.5454999999999</v>
      </c>
      <c r="C32" s="12" t="s">
        <v>28</v>
      </c>
      <c r="D32" s="12">
        <v>80.33569</v>
      </c>
      <c r="E32" s="12">
        <v>55.4</v>
      </c>
      <c r="F32" s="12" t="s">
        <v>28</v>
      </c>
      <c r="G32" s="71" t="s">
        <v>28</v>
      </c>
      <c r="H32" s="17">
        <v>47.08</v>
      </c>
      <c r="I32" s="71">
        <v>9.0892500000000001E-2</v>
      </c>
    </row>
    <row r="33" spans="1:9" hidden="1" x14ac:dyDescent="0.25">
      <c r="A33" s="5" t="s">
        <v>255</v>
      </c>
      <c r="B33" s="13">
        <v>1600.7273</v>
      </c>
      <c r="C33" s="12" t="s">
        <v>28</v>
      </c>
      <c r="D33" s="12" t="s">
        <v>28</v>
      </c>
      <c r="E33" s="12" t="s">
        <v>28</v>
      </c>
      <c r="F33" s="12" t="s">
        <v>28</v>
      </c>
      <c r="G33" s="71" t="s">
        <v>28</v>
      </c>
      <c r="H33" s="17">
        <v>44.56</v>
      </c>
      <c r="I33" s="71" t="s">
        <v>28</v>
      </c>
    </row>
    <row r="34" spans="1:9" hidden="1" x14ac:dyDescent="0.25">
      <c r="A34" s="5" t="s">
        <v>70</v>
      </c>
      <c r="B34" s="13">
        <v>1601.7273</v>
      </c>
      <c r="C34" s="12" t="s">
        <v>28</v>
      </c>
      <c r="D34" s="12" t="s">
        <v>28</v>
      </c>
      <c r="E34" s="12" t="s">
        <v>28</v>
      </c>
      <c r="F34" s="12">
        <v>65</v>
      </c>
      <c r="G34" s="71" t="s">
        <v>28</v>
      </c>
      <c r="H34" s="17">
        <v>58</v>
      </c>
      <c r="I34" s="71">
        <v>3.7549199999999998E-2</v>
      </c>
    </row>
    <row r="35" spans="1:9" hidden="1" x14ac:dyDescent="0.25">
      <c r="A35" s="5" t="s">
        <v>61</v>
      </c>
      <c r="B35" s="13">
        <v>1602.1818000000001</v>
      </c>
      <c r="C35" s="12">
        <v>42</v>
      </c>
      <c r="D35" s="12">
        <v>21.022110000000001</v>
      </c>
      <c r="E35" s="12">
        <v>36.700000000000003</v>
      </c>
      <c r="F35" s="12" t="s">
        <v>28</v>
      </c>
      <c r="G35" s="71" t="s">
        <v>28</v>
      </c>
      <c r="H35" s="17">
        <v>40.659999999999997</v>
      </c>
      <c r="I35" s="71" t="s">
        <v>28</v>
      </c>
    </row>
    <row r="36" spans="1:9" hidden="1" x14ac:dyDescent="0.25">
      <c r="A36" s="5" t="s">
        <v>76</v>
      </c>
      <c r="B36" s="13">
        <v>1639.4545000000001</v>
      </c>
      <c r="C36" s="12" t="s">
        <v>28</v>
      </c>
      <c r="D36" s="12">
        <v>5.221241</v>
      </c>
      <c r="E36" s="12" t="s">
        <v>28</v>
      </c>
      <c r="F36" s="12" t="s">
        <v>28</v>
      </c>
      <c r="G36" s="71">
        <v>8.4</v>
      </c>
      <c r="H36" s="17">
        <v>35.74</v>
      </c>
      <c r="I36" s="71" t="s">
        <v>28</v>
      </c>
    </row>
    <row r="37" spans="1:9" hidden="1" x14ac:dyDescent="0.25">
      <c r="A37" s="5" t="s">
        <v>4</v>
      </c>
      <c r="B37" s="13">
        <v>1664.8181999999999</v>
      </c>
      <c r="C37" s="12">
        <v>34</v>
      </c>
      <c r="D37" s="12" t="s">
        <v>28</v>
      </c>
      <c r="E37" s="12">
        <v>65.099999999999994</v>
      </c>
      <c r="F37" s="12">
        <v>75</v>
      </c>
      <c r="G37" s="71" t="s">
        <v>28</v>
      </c>
      <c r="H37" s="17">
        <v>37.22</v>
      </c>
      <c r="I37" s="71">
        <v>0.39402150000000002</v>
      </c>
    </row>
    <row r="38" spans="1:9" hidden="1" x14ac:dyDescent="0.25">
      <c r="A38" s="5" t="s">
        <v>65</v>
      </c>
      <c r="B38" s="13">
        <v>1674.5454999999999</v>
      </c>
      <c r="C38" s="12">
        <v>17</v>
      </c>
      <c r="D38" s="12">
        <v>19.997129999999999</v>
      </c>
      <c r="E38" s="12">
        <v>35.9</v>
      </c>
      <c r="F38" s="12" t="s">
        <v>28</v>
      </c>
      <c r="G38" s="71">
        <v>32.4</v>
      </c>
      <c r="H38" s="17">
        <v>48.08</v>
      </c>
      <c r="I38" s="71">
        <v>13.867000000000001</v>
      </c>
    </row>
    <row r="39" spans="1:9" hidden="1" x14ac:dyDescent="0.25">
      <c r="A39" s="5" t="s">
        <v>64</v>
      </c>
      <c r="B39" s="13">
        <v>1677.4545000000001</v>
      </c>
      <c r="C39" s="12" t="s">
        <v>28</v>
      </c>
      <c r="D39" s="12" t="s">
        <v>28</v>
      </c>
      <c r="E39" s="12">
        <v>56.9</v>
      </c>
      <c r="F39" s="12" t="s">
        <v>28</v>
      </c>
      <c r="G39" s="71" t="s">
        <v>28</v>
      </c>
      <c r="H39" s="17">
        <v>32.6</v>
      </c>
      <c r="I39" s="53" t="s">
        <v>28</v>
      </c>
    </row>
    <row r="40" spans="1:9" hidden="1" x14ac:dyDescent="0.25">
      <c r="A40" s="5" t="s">
        <v>67</v>
      </c>
      <c r="B40" s="13">
        <v>1690</v>
      </c>
      <c r="C40" s="12">
        <v>34</v>
      </c>
      <c r="D40" s="12">
        <v>37.362499999999997</v>
      </c>
      <c r="E40" s="12">
        <v>35.6</v>
      </c>
      <c r="F40" s="12" t="s">
        <v>28</v>
      </c>
      <c r="G40" s="71" t="s">
        <v>28</v>
      </c>
      <c r="H40" s="17">
        <v>20.04</v>
      </c>
      <c r="I40" s="71" t="s">
        <v>28</v>
      </c>
    </row>
    <row r="41" spans="1:9" hidden="1" x14ac:dyDescent="0.25">
      <c r="A41" s="5" t="s">
        <v>14</v>
      </c>
      <c r="B41" s="13">
        <v>1702.3635999999999</v>
      </c>
      <c r="C41" s="12">
        <v>38</v>
      </c>
      <c r="D41" s="12">
        <v>50.877110000000002</v>
      </c>
      <c r="E41" s="12" t="s">
        <v>28</v>
      </c>
      <c r="F41" s="12" t="s">
        <v>28</v>
      </c>
      <c r="G41" s="71" t="s">
        <v>28</v>
      </c>
      <c r="H41" s="17">
        <v>44.56</v>
      </c>
      <c r="I41" s="71" t="s">
        <v>28</v>
      </c>
    </row>
    <row r="42" spans="1:9" hidden="1" x14ac:dyDescent="0.25">
      <c r="A42" s="5" t="s">
        <v>118</v>
      </c>
      <c r="B42" s="13">
        <v>1820.3690999999999</v>
      </c>
      <c r="C42" s="12" t="s">
        <v>28</v>
      </c>
      <c r="D42" s="12" t="s">
        <v>28</v>
      </c>
      <c r="E42" s="12" t="s">
        <v>28</v>
      </c>
      <c r="F42" s="12" t="s">
        <v>28</v>
      </c>
      <c r="G42" s="71" t="s">
        <v>28</v>
      </c>
      <c r="H42" s="17">
        <v>28.66</v>
      </c>
      <c r="I42" s="71" t="s">
        <v>28</v>
      </c>
    </row>
    <row r="43" spans="1:9" hidden="1" x14ac:dyDescent="0.25">
      <c r="A43" s="5" t="s">
        <v>25</v>
      </c>
      <c r="B43" s="13">
        <v>1962.4545000000001</v>
      </c>
      <c r="C43" s="12">
        <v>34</v>
      </c>
      <c r="D43" s="12">
        <v>52.637639999999998</v>
      </c>
      <c r="E43" s="12">
        <v>41.2</v>
      </c>
      <c r="F43" s="12">
        <v>49</v>
      </c>
      <c r="G43" s="71" t="s">
        <v>28</v>
      </c>
      <c r="H43" s="17">
        <v>51.78</v>
      </c>
      <c r="I43" s="53" t="s">
        <v>28</v>
      </c>
    </row>
    <row r="44" spans="1:9" hidden="1" x14ac:dyDescent="0.25">
      <c r="A44" s="5" t="s">
        <v>78</v>
      </c>
      <c r="B44" s="13">
        <v>1978.7273</v>
      </c>
      <c r="C44" s="12">
        <v>37</v>
      </c>
      <c r="D44" s="12">
        <v>12.40625</v>
      </c>
      <c r="E44" s="12">
        <v>59.3</v>
      </c>
      <c r="F44" s="12" t="s">
        <v>28</v>
      </c>
      <c r="G44" s="71" t="s">
        <v>28</v>
      </c>
      <c r="H44" s="17">
        <v>33.880000000000003</v>
      </c>
      <c r="I44" s="53" t="s">
        <v>28</v>
      </c>
    </row>
    <row r="45" spans="1:9" hidden="1" x14ac:dyDescent="0.25">
      <c r="A45" s="5" t="s">
        <v>207</v>
      </c>
      <c r="B45" s="13">
        <v>1979.7273</v>
      </c>
      <c r="C45" s="12" t="s">
        <v>28</v>
      </c>
      <c r="D45" s="12" t="s">
        <v>28</v>
      </c>
      <c r="E45" s="12">
        <v>17.7</v>
      </c>
      <c r="F45" s="12" t="s">
        <v>28</v>
      </c>
      <c r="G45" s="71" t="s">
        <v>28</v>
      </c>
      <c r="H45" s="17" t="s">
        <v>28</v>
      </c>
      <c r="I45" s="71" t="s">
        <v>28</v>
      </c>
    </row>
    <row r="46" spans="1:9" hidden="1" x14ac:dyDescent="0.25">
      <c r="A46" s="5" t="s">
        <v>21</v>
      </c>
      <c r="B46" s="13">
        <v>1992</v>
      </c>
      <c r="C46" s="12">
        <v>32</v>
      </c>
      <c r="D46" s="12">
        <v>46.991230000000002</v>
      </c>
      <c r="E46" s="12" t="s">
        <v>28</v>
      </c>
      <c r="F46" s="12" t="s">
        <v>28</v>
      </c>
      <c r="G46" s="71" t="s">
        <v>28</v>
      </c>
      <c r="H46" s="17">
        <v>37.1</v>
      </c>
      <c r="I46" s="71" t="s">
        <v>28</v>
      </c>
    </row>
    <row r="47" spans="1:9" hidden="1" x14ac:dyDescent="0.25">
      <c r="A47" s="5" t="s">
        <v>74</v>
      </c>
      <c r="B47" s="13">
        <v>2001</v>
      </c>
      <c r="C47" s="12">
        <v>30</v>
      </c>
      <c r="D47" s="12" t="s">
        <v>28</v>
      </c>
      <c r="E47" s="12">
        <v>38</v>
      </c>
      <c r="F47" s="12">
        <v>43</v>
      </c>
      <c r="G47" s="71" t="s">
        <v>28</v>
      </c>
      <c r="H47" s="17">
        <v>38.42</v>
      </c>
      <c r="I47" s="71">
        <v>0.27445269999999999</v>
      </c>
    </row>
    <row r="48" spans="1:9" hidden="1" x14ac:dyDescent="0.25">
      <c r="A48" s="5" t="s">
        <v>82</v>
      </c>
      <c r="B48" s="13">
        <v>2032.3635999999999</v>
      </c>
      <c r="C48" s="12" t="s">
        <v>28</v>
      </c>
      <c r="D48" s="12" t="s">
        <v>28</v>
      </c>
      <c r="E48" s="12" t="s">
        <v>28</v>
      </c>
      <c r="F48" s="12" t="s">
        <v>28</v>
      </c>
      <c r="G48" s="71" t="s">
        <v>28</v>
      </c>
      <c r="H48" s="17">
        <v>34.36</v>
      </c>
      <c r="I48" s="53" t="s">
        <v>28</v>
      </c>
    </row>
    <row r="49" spans="1:9" hidden="1" x14ac:dyDescent="0.25">
      <c r="A49" s="5" t="s">
        <v>60</v>
      </c>
      <c r="B49" s="13">
        <v>2062.3636000000001</v>
      </c>
      <c r="C49" s="12" t="s">
        <v>28</v>
      </c>
      <c r="D49" s="12" t="s">
        <v>28</v>
      </c>
      <c r="E49" s="12" t="s">
        <v>28</v>
      </c>
      <c r="F49" s="12">
        <v>67</v>
      </c>
      <c r="G49" s="71" t="s">
        <v>28</v>
      </c>
      <c r="H49" s="17">
        <v>43.04</v>
      </c>
      <c r="I49" s="71">
        <v>4.5514869999999998</v>
      </c>
    </row>
    <row r="50" spans="1:9" hidden="1" x14ac:dyDescent="0.25">
      <c r="A50" s="5" t="s">
        <v>19</v>
      </c>
      <c r="B50" s="13">
        <v>2062.5455000000002</v>
      </c>
      <c r="C50" s="12" t="s">
        <v>28</v>
      </c>
      <c r="D50" s="12">
        <v>64.254930000000002</v>
      </c>
      <c r="E50" s="12" t="s">
        <v>28</v>
      </c>
      <c r="F50" s="12">
        <v>72</v>
      </c>
      <c r="G50" s="71" t="s">
        <v>28</v>
      </c>
      <c r="H50" s="17">
        <v>40.880000000000003</v>
      </c>
      <c r="I50" s="71" t="s">
        <v>28</v>
      </c>
    </row>
    <row r="51" spans="1:9" hidden="1" x14ac:dyDescent="0.25">
      <c r="A51" s="5" t="s">
        <v>68</v>
      </c>
      <c r="B51" s="13">
        <v>2302.8182000000002</v>
      </c>
      <c r="C51" s="12">
        <v>27</v>
      </c>
      <c r="D51" s="12">
        <v>9.1298480000000009</v>
      </c>
      <c r="E51" s="12">
        <v>41.7</v>
      </c>
      <c r="F51" s="12" t="s">
        <v>28</v>
      </c>
      <c r="G51" s="71" t="s">
        <v>28</v>
      </c>
      <c r="H51" s="17">
        <v>16.68</v>
      </c>
      <c r="I51" s="71" t="s">
        <v>28</v>
      </c>
    </row>
    <row r="52" spans="1:9" hidden="1" x14ac:dyDescent="0.25">
      <c r="A52" s="5" t="s">
        <v>79</v>
      </c>
      <c r="B52" s="13">
        <v>2388.2727</v>
      </c>
      <c r="C52" s="12">
        <v>32</v>
      </c>
      <c r="D52" s="12">
        <v>22.793399999999998</v>
      </c>
      <c r="E52" s="12">
        <v>36.799999999999997</v>
      </c>
      <c r="F52" s="12" t="s">
        <v>28</v>
      </c>
      <c r="G52" s="71">
        <v>53.1</v>
      </c>
      <c r="H52" s="17">
        <v>67.319999999999993</v>
      </c>
      <c r="I52" s="71">
        <v>11.09441</v>
      </c>
    </row>
    <row r="53" spans="1:9" hidden="1" x14ac:dyDescent="0.25">
      <c r="A53" s="5" t="s">
        <v>75</v>
      </c>
      <c r="B53" s="13">
        <v>2409.1817999999998</v>
      </c>
      <c r="C53" s="12">
        <v>41</v>
      </c>
      <c r="D53" s="12" t="s">
        <v>28</v>
      </c>
      <c r="E53" s="12">
        <v>50.4</v>
      </c>
      <c r="F53" s="12" t="s">
        <v>28</v>
      </c>
      <c r="G53" s="71" t="s">
        <v>28</v>
      </c>
      <c r="H53" s="17">
        <v>62.42</v>
      </c>
      <c r="I53" s="53" t="s">
        <v>28</v>
      </c>
    </row>
    <row r="54" spans="1:9" hidden="1" x14ac:dyDescent="0.25">
      <c r="A54" s="5" t="s">
        <v>77</v>
      </c>
      <c r="B54" s="13">
        <v>2411.2727</v>
      </c>
      <c r="C54" s="12" t="s">
        <v>28</v>
      </c>
      <c r="D54" s="12" t="s">
        <v>28</v>
      </c>
      <c r="E54" s="12" t="s">
        <v>28</v>
      </c>
      <c r="F54" s="12" t="s">
        <v>28</v>
      </c>
      <c r="G54" s="71" t="s">
        <v>28</v>
      </c>
      <c r="H54" s="17">
        <v>37.46</v>
      </c>
      <c r="I54" s="71" t="s">
        <v>28</v>
      </c>
    </row>
    <row r="55" spans="1:9" hidden="1" x14ac:dyDescent="0.25">
      <c r="A55" s="5" t="s">
        <v>89</v>
      </c>
      <c r="B55" s="13">
        <v>2491.2727</v>
      </c>
      <c r="C55" s="12">
        <v>43</v>
      </c>
      <c r="D55" s="12">
        <v>20.230910000000002</v>
      </c>
      <c r="E55" s="12">
        <v>44.4</v>
      </c>
      <c r="F55" s="12">
        <v>68</v>
      </c>
      <c r="G55" s="71" t="s">
        <v>28</v>
      </c>
      <c r="H55" s="17">
        <v>67.739999999999995</v>
      </c>
      <c r="I55" s="71">
        <v>2.5053730000000001</v>
      </c>
    </row>
    <row r="56" spans="1:9" hidden="1" x14ac:dyDescent="0.25">
      <c r="A56" s="5" t="s">
        <v>233</v>
      </c>
      <c r="B56" s="13">
        <v>2500</v>
      </c>
      <c r="C56" s="12" t="s">
        <v>28</v>
      </c>
      <c r="D56" s="12">
        <v>28.121949999999998</v>
      </c>
      <c r="E56" s="12" t="s">
        <v>28</v>
      </c>
      <c r="F56" s="12" t="s">
        <v>28</v>
      </c>
      <c r="G56" s="71" t="s">
        <v>28</v>
      </c>
      <c r="H56" s="17" t="s">
        <v>28</v>
      </c>
      <c r="I56" s="71" t="s">
        <v>28</v>
      </c>
    </row>
    <row r="57" spans="1:9" hidden="1" x14ac:dyDescent="0.25">
      <c r="A57" s="5" t="s">
        <v>231</v>
      </c>
      <c r="B57" s="13">
        <v>2500</v>
      </c>
      <c r="C57" s="12">
        <v>29</v>
      </c>
      <c r="D57" s="12" t="s">
        <v>28</v>
      </c>
      <c r="E57" s="12" t="s">
        <v>28</v>
      </c>
      <c r="F57" s="12" t="s">
        <v>28</v>
      </c>
      <c r="G57" s="71" t="s">
        <v>28</v>
      </c>
      <c r="H57" s="17" t="s">
        <v>28</v>
      </c>
      <c r="I57" s="71" t="s">
        <v>28</v>
      </c>
    </row>
    <row r="58" spans="1:9" hidden="1" x14ac:dyDescent="0.25">
      <c r="A58" s="5" t="s">
        <v>8</v>
      </c>
      <c r="B58" s="13">
        <v>2637.9090999999999</v>
      </c>
      <c r="C58" s="12">
        <v>27</v>
      </c>
      <c r="D58" s="12">
        <v>27.704989999999999</v>
      </c>
      <c r="E58" s="12" t="s">
        <v>28</v>
      </c>
      <c r="F58" s="12">
        <v>37</v>
      </c>
      <c r="G58" s="71" t="s">
        <v>28</v>
      </c>
      <c r="H58" s="17">
        <v>24.78</v>
      </c>
      <c r="I58" s="71">
        <v>0.6098422</v>
      </c>
    </row>
    <row r="59" spans="1:9" hidden="1" x14ac:dyDescent="0.25">
      <c r="A59" s="5" t="s">
        <v>71</v>
      </c>
      <c r="B59" s="13">
        <v>2856.1817999999998</v>
      </c>
      <c r="C59" s="12">
        <v>33</v>
      </c>
      <c r="D59" s="12">
        <v>15.873749999999999</v>
      </c>
      <c r="E59" s="12">
        <v>60.3</v>
      </c>
      <c r="F59" s="12" t="s">
        <v>28</v>
      </c>
      <c r="G59" s="71" t="s">
        <v>28</v>
      </c>
      <c r="H59" s="17">
        <v>32.42</v>
      </c>
      <c r="I59" s="71" t="s">
        <v>28</v>
      </c>
    </row>
    <row r="60" spans="1:9" hidden="1" x14ac:dyDescent="0.25">
      <c r="A60" s="5" t="s">
        <v>87</v>
      </c>
      <c r="B60" s="13">
        <v>3025.1817999999998</v>
      </c>
      <c r="C60" s="12">
        <v>38</v>
      </c>
      <c r="D60" s="12">
        <v>23.464179999999999</v>
      </c>
      <c r="E60" s="12">
        <v>39.200000000000003</v>
      </c>
      <c r="F60" s="12">
        <v>52</v>
      </c>
      <c r="G60" s="71" t="s">
        <v>28</v>
      </c>
      <c r="H60" s="17">
        <v>50.42</v>
      </c>
      <c r="I60" s="71" t="s">
        <v>28</v>
      </c>
    </row>
    <row r="61" spans="1:9" hidden="1" x14ac:dyDescent="0.25">
      <c r="A61" s="5" t="s">
        <v>96</v>
      </c>
      <c r="B61" s="13">
        <v>3107</v>
      </c>
      <c r="C61" s="12" t="s">
        <v>28</v>
      </c>
      <c r="D61" s="12" t="s">
        <v>28</v>
      </c>
      <c r="E61" s="12" t="s">
        <v>28</v>
      </c>
      <c r="F61" s="12" t="s">
        <v>28</v>
      </c>
      <c r="G61" s="71" t="s">
        <v>28</v>
      </c>
      <c r="H61" s="17">
        <v>31.7</v>
      </c>
      <c r="I61" s="71" t="s">
        <v>28</v>
      </c>
    </row>
    <row r="62" spans="1:9" hidden="1" x14ac:dyDescent="0.25">
      <c r="A62" s="5" t="s">
        <v>81</v>
      </c>
      <c r="B62" s="13">
        <v>3184.5455000000002</v>
      </c>
      <c r="C62" s="12">
        <v>32</v>
      </c>
      <c r="D62" s="12">
        <v>6.0916389999999998</v>
      </c>
      <c r="E62" s="12">
        <v>17.2</v>
      </c>
      <c r="F62" s="12" t="s">
        <v>28</v>
      </c>
      <c r="G62" s="71" t="s">
        <v>28</v>
      </c>
      <c r="H62" s="17">
        <v>47.84</v>
      </c>
      <c r="I62" s="71">
        <v>38.411160000000002</v>
      </c>
    </row>
    <row r="63" spans="1:9" hidden="1" x14ac:dyDescent="0.25">
      <c r="A63" s="5" t="s">
        <v>83</v>
      </c>
      <c r="B63" s="13">
        <v>3221.1817999999998</v>
      </c>
      <c r="C63" s="12">
        <v>33</v>
      </c>
      <c r="D63" s="12">
        <v>13.614129999999999</v>
      </c>
      <c r="E63" s="12" t="s">
        <v>28</v>
      </c>
      <c r="F63" s="12" t="s">
        <v>28</v>
      </c>
      <c r="G63" s="71">
        <v>47.2</v>
      </c>
      <c r="H63" s="17">
        <v>60.64</v>
      </c>
      <c r="I63" s="71" t="s">
        <v>28</v>
      </c>
    </row>
    <row r="64" spans="1:9" hidden="1" x14ac:dyDescent="0.25">
      <c r="A64" s="5" t="s">
        <v>9</v>
      </c>
      <c r="B64" s="13">
        <v>3242.5455000000002</v>
      </c>
      <c r="C64" s="12">
        <v>38</v>
      </c>
      <c r="D64" s="12">
        <v>27.298349999999999</v>
      </c>
      <c r="E64" s="12">
        <v>44.7</v>
      </c>
      <c r="F64" s="12">
        <v>51</v>
      </c>
      <c r="G64" s="71" t="s">
        <v>28</v>
      </c>
      <c r="H64" s="17">
        <v>22.34</v>
      </c>
      <c r="I64" s="53">
        <v>1.1068169999999999</v>
      </c>
    </row>
    <row r="65" spans="1:9" hidden="1" x14ac:dyDescent="0.25">
      <c r="A65" s="5" t="s">
        <v>84</v>
      </c>
      <c r="B65" s="13">
        <v>3267.1817999999998</v>
      </c>
      <c r="C65" s="12">
        <v>35</v>
      </c>
      <c r="D65" s="12">
        <v>37.481380000000001</v>
      </c>
      <c r="E65" s="12">
        <v>40.700000000000003</v>
      </c>
      <c r="F65" s="12" t="s">
        <v>28</v>
      </c>
      <c r="G65" s="71" t="s">
        <v>28</v>
      </c>
      <c r="H65" s="17">
        <v>47.44</v>
      </c>
      <c r="I65" s="71" t="s">
        <v>28</v>
      </c>
    </row>
    <row r="66" spans="1:9" hidden="1" x14ac:dyDescent="0.25">
      <c r="A66" s="5" t="s">
        <v>93</v>
      </c>
      <c r="B66" s="13">
        <v>3399.2727</v>
      </c>
      <c r="C66" s="12" t="s">
        <v>28</v>
      </c>
      <c r="D66" s="12">
        <v>49.604030000000002</v>
      </c>
      <c r="E66" s="12">
        <v>34.299999999999997</v>
      </c>
      <c r="F66" s="12">
        <v>29</v>
      </c>
      <c r="G66" s="71" t="s">
        <v>28</v>
      </c>
      <c r="H66" s="17">
        <v>20.84</v>
      </c>
      <c r="I66" s="71">
        <v>0.1230289</v>
      </c>
    </row>
    <row r="67" spans="1:9" hidden="1" x14ac:dyDescent="0.25">
      <c r="A67" s="5" t="s">
        <v>101</v>
      </c>
      <c r="B67" s="13">
        <v>3626.6363999999999</v>
      </c>
      <c r="C67" s="12">
        <v>35</v>
      </c>
      <c r="D67" s="12">
        <v>23.53912</v>
      </c>
      <c r="E67" s="12">
        <v>34.299999999999997</v>
      </c>
      <c r="F67" s="12">
        <v>49</v>
      </c>
      <c r="G67" s="71" t="s">
        <v>28</v>
      </c>
      <c r="H67" s="17">
        <v>35.5</v>
      </c>
      <c r="I67" s="71" t="s">
        <v>28</v>
      </c>
    </row>
    <row r="68" spans="1:9" hidden="1" x14ac:dyDescent="0.25">
      <c r="A68" s="5" t="s">
        <v>103</v>
      </c>
      <c r="B68" s="13">
        <v>3674.8182000000002</v>
      </c>
      <c r="C68" s="12">
        <v>31</v>
      </c>
      <c r="D68" s="12">
        <v>17.032050000000002</v>
      </c>
      <c r="E68" s="12">
        <v>29.5</v>
      </c>
      <c r="F68" s="12">
        <v>25</v>
      </c>
      <c r="G68" s="71">
        <v>68</v>
      </c>
      <c r="H68" s="17">
        <v>35.94</v>
      </c>
      <c r="I68" s="53">
        <v>5.0454359999999996</v>
      </c>
    </row>
    <row r="69" spans="1:9" hidden="1" x14ac:dyDescent="0.25">
      <c r="A69" s="5" t="s">
        <v>86</v>
      </c>
      <c r="B69" s="13">
        <v>3710.4544999999998</v>
      </c>
      <c r="C69" s="12">
        <v>31</v>
      </c>
      <c r="D69" s="12">
        <v>7.718121</v>
      </c>
      <c r="E69" s="12">
        <v>32.299999999999997</v>
      </c>
      <c r="F69" s="12">
        <v>17</v>
      </c>
      <c r="G69" s="71">
        <v>40</v>
      </c>
      <c r="H69" s="17">
        <v>46.96</v>
      </c>
      <c r="I69" s="71">
        <v>2.6794009999999999</v>
      </c>
    </row>
    <row r="70" spans="1:9" hidden="1" x14ac:dyDescent="0.25">
      <c r="A70" s="5" t="s">
        <v>6</v>
      </c>
      <c r="B70" s="13">
        <v>3754.1158999999998</v>
      </c>
      <c r="C70" s="12" t="s">
        <v>28</v>
      </c>
      <c r="D70" s="12">
        <v>11.647729999999999</v>
      </c>
      <c r="E70" s="12" t="s">
        <v>28</v>
      </c>
      <c r="F70" s="12" t="s">
        <v>28</v>
      </c>
      <c r="G70" s="71" t="s">
        <v>28</v>
      </c>
      <c r="H70" s="17" t="s">
        <v>28</v>
      </c>
      <c r="I70" s="71" t="s">
        <v>28</v>
      </c>
    </row>
    <row r="71" spans="1:9" hidden="1" x14ac:dyDescent="0.25">
      <c r="A71" s="5" t="s">
        <v>123</v>
      </c>
      <c r="B71" s="13">
        <v>3816.2727</v>
      </c>
      <c r="C71" s="12">
        <v>38</v>
      </c>
      <c r="D71" s="12">
        <v>13.27069</v>
      </c>
      <c r="E71" s="12">
        <v>36.200000000000003</v>
      </c>
      <c r="F71" s="12" t="s">
        <v>28</v>
      </c>
      <c r="G71" s="71" t="s">
        <v>28</v>
      </c>
      <c r="H71" s="17">
        <v>38.14</v>
      </c>
      <c r="I71" s="71" t="s">
        <v>28</v>
      </c>
    </row>
    <row r="72" spans="1:9" hidden="1" x14ac:dyDescent="0.25">
      <c r="A72" s="5" t="s">
        <v>95</v>
      </c>
      <c r="B72" s="13">
        <v>3914.7273</v>
      </c>
      <c r="C72" s="12">
        <v>33</v>
      </c>
      <c r="D72" s="12">
        <v>3.9987750000000002</v>
      </c>
      <c r="E72" s="12">
        <v>30.9</v>
      </c>
      <c r="F72" s="12">
        <v>40</v>
      </c>
      <c r="G72" s="71">
        <v>39</v>
      </c>
      <c r="H72" s="17">
        <v>37.08</v>
      </c>
      <c r="I72" s="71">
        <v>4.6222089999999998</v>
      </c>
    </row>
    <row r="73" spans="1:9" hidden="1" x14ac:dyDescent="0.25">
      <c r="A73" s="5" t="s">
        <v>94</v>
      </c>
      <c r="B73" s="13">
        <v>4045.7273</v>
      </c>
      <c r="C73" s="12">
        <v>22</v>
      </c>
      <c r="D73" s="12">
        <v>21.957899999999999</v>
      </c>
      <c r="E73" s="12" t="s">
        <v>28</v>
      </c>
      <c r="F73" s="12" t="s">
        <v>28</v>
      </c>
      <c r="G73" s="71" t="s">
        <v>28</v>
      </c>
      <c r="H73" s="17">
        <v>34.520000000000003</v>
      </c>
      <c r="I73" s="71">
        <v>4.6019079999999999</v>
      </c>
    </row>
    <row r="74" spans="1:9" hidden="1" x14ac:dyDescent="0.25">
      <c r="A74" s="5" t="s">
        <v>85</v>
      </c>
      <c r="B74" s="13">
        <v>4113.7272999999996</v>
      </c>
      <c r="C74" s="12" t="s">
        <v>28</v>
      </c>
      <c r="D74" s="12" t="s">
        <v>28</v>
      </c>
      <c r="E74" s="12" t="s">
        <v>28</v>
      </c>
      <c r="F74" s="12" t="s">
        <v>28</v>
      </c>
      <c r="G74" s="71" t="s">
        <v>28</v>
      </c>
      <c r="H74" s="17">
        <v>31.48</v>
      </c>
      <c r="I74" s="53" t="s">
        <v>28</v>
      </c>
    </row>
    <row r="75" spans="1:9" hidden="1" x14ac:dyDescent="0.25">
      <c r="A75" s="5" t="s">
        <v>176</v>
      </c>
      <c r="B75" s="13">
        <v>4114.6364000000003</v>
      </c>
      <c r="C75" s="12">
        <v>38</v>
      </c>
      <c r="D75" s="12">
        <v>26.61157</v>
      </c>
      <c r="E75" s="12">
        <v>39.5</v>
      </c>
      <c r="F75" s="12" t="s">
        <v>28</v>
      </c>
      <c r="G75" s="71" t="s">
        <v>28</v>
      </c>
      <c r="H75" s="17" t="s">
        <v>28</v>
      </c>
      <c r="I75" s="53" t="s">
        <v>28</v>
      </c>
    </row>
    <row r="76" spans="1:9" hidden="1" x14ac:dyDescent="0.25">
      <c r="A76" s="5" t="s">
        <v>7</v>
      </c>
      <c r="B76" s="13">
        <v>4123.3635999999997</v>
      </c>
      <c r="C76" s="12">
        <v>39</v>
      </c>
      <c r="D76" s="12">
        <v>24.60153</v>
      </c>
      <c r="E76" s="12">
        <v>37.9</v>
      </c>
      <c r="F76" s="12">
        <v>45</v>
      </c>
      <c r="G76" s="71">
        <v>61</v>
      </c>
      <c r="H76" s="17">
        <v>51.44</v>
      </c>
      <c r="I76" s="71">
        <v>5.3857869999999997</v>
      </c>
    </row>
    <row r="77" spans="1:9" hidden="1" x14ac:dyDescent="0.25">
      <c r="A77" s="5" t="s">
        <v>120</v>
      </c>
      <c r="B77" s="13">
        <v>4188.0509000000002</v>
      </c>
      <c r="C77" s="12" t="s">
        <v>28</v>
      </c>
      <c r="D77" s="12" t="s">
        <v>28</v>
      </c>
      <c r="E77" s="12">
        <v>58.7</v>
      </c>
      <c r="F77" s="12" t="s">
        <v>28</v>
      </c>
      <c r="G77" s="71" t="s">
        <v>28</v>
      </c>
      <c r="H77" s="17">
        <v>31.24</v>
      </c>
      <c r="I77" s="71" t="s">
        <v>28</v>
      </c>
    </row>
    <row r="78" spans="1:9" hidden="1" x14ac:dyDescent="0.25">
      <c r="A78" s="5" t="s">
        <v>90</v>
      </c>
      <c r="B78" s="13">
        <v>4294.9090999999999</v>
      </c>
      <c r="C78" s="12">
        <v>32</v>
      </c>
      <c r="D78" s="12">
        <v>23.248940000000001</v>
      </c>
      <c r="E78" s="12">
        <v>37</v>
      </c>
      <c r="F78" s="12">
        <v>34</v>
      </c>
      <c r="G78" s="71">
        <v>50</v>
      </c>
      <c r="H78" s="17">
        <v>44.58</v>
      </c>
      <c r="I78" s="71" t="s">
        <v>28</v>
      </c>
    </row>
    <row r="79" spans="1:9" hidden="1" x14ac:dyDescent="0.25">
      <c r="A79" s="5" t="s">
        <v>100</v>
      </c>
      <c r="B79" s="13">
        <v>4458.9090999999999</v>
      </c>
      <c r="C79" s="12">
        <v>41</v>
      </c>
      <c r="D79" s="12">
        <v>19.052060000000001</v>
      </c>
      <c r="E79" s="12">
        <v>44.9</v>
      </c>
      <c r="F79" s="12" t="s">
        <v>28</v>
      </c>
      <c r="G79" s="71">
        <v>27</v>
      </c>
      <c r="H79" s="17">
        <v>30.7</v>
      </c>
      <c r="I79" s="71" t="s">
        <v>28</v>
      </c>
    </row>
    <row r="80" spans="1:9" hidden="1" x14ac:dyDescent="0.25">
      <c r="A80" s="5" t="s">
        <v>226</v>
      </c>
      <c r="B80" s="13">
        <v>4500</v>
      </c>
      <c r="C80" s="12" t="s">
        <v>28</v>
      </c>
      <c r="D80" s="12" t="s">
        <v>28</v>
      </c>
      <c r="E80" s="12">
        <v>20.2</v>
      </c>
      <c r="F80" s="12">
        <v>1</v>
      </c>
      <c r="G80" s="71" t="s">
        <v>28</v>
      </c>
      <c r="H80" s="17" t="s">
        <v>28</v>
      </c>
      <c r="I80" s="71" t="s">
        <v>28</v>
      </c>
    </row>
    <row r="81" spans="1:9" hidden="1" x14ac:dyDescent="0.25">
      <c r="A81" s="5" t="s">
        <v>108</v>
      </c>
      <c r="B81" s="13">
        <v>4562.2727000000004</v>
      </c>
      <c r="C81" s="12">
        <v>23</v>
      </c>
      <c r="D81" s="12" t="s">
        <v>28</v>
      </c>
      <c r="E81" s="12" t="s">
        <v>28</v>
      </c>
      <c r="F81" s="12">
        <v>24</v>
      </c>
      <c r="G81" s="71" t="s">
        <v>28</v>
      </c>
      <c r="H81" s="17">
        <v>20.62</v>
      </c>
      <c r="I81" s="71">
        <v>17.65719</v>
      </c>
    </row>
    <row r="82" spans="1:9" hidden="1" x14ac:dyDescent="0.25">
      <c r="A82" s="5" t="s">
        <v>73</v>
      </c>
      <c r="B82" s="13">
        <v>4593.9090999999999</v>
      </c>
      <c r="C82" s="12" t="s">
        <v>28</v>
      </c>
      <c r="D82" s="12" t="s">
        <v>28</v>
      </c>
      <c r="E82" s="12" t="s">
        <v>28</v>
      </c>
      <c r="F82" s="12" t="s">
        <v>28</v>
      </c>
      <c r="G82" s="71" t="s">
        <v>28</v>
      </c>
      <c r="H82" s="17">
        <v>34.64</v>
      </c>
      <c r="I82" s="71" t="s">
        <v>28</v>
      </c>
    </row>
    <row r="83" spans="1:9" hidden="1" x14ac:dyDescent="0.25">
      <c r="A83" s="5" t="s">
        <v>134</v>
      </c>
      <c r="B83" s="13">
        <v>4687.5455000000002</v>
      </c>
      <c r="C83" s="12" t="s">
        <v>28</v>
      </c>
      <c r="D83" s="12">
        <v>34.263739999999999</v>
      </c>
      <c r="E83" s="12" t="s">
        <v>28</v>
      </c>
      <c r="F83" s="12">
        <v>34</v>
      </c>
      <c r="G83" s="71" t="s">
        <v>28</v>
      </c>
      <c r="H83" s="17">
        <v>35.9</v>
      </c>
      <c r="I83" s="71">
        <v>15.26144</v>
      </c>
    </row>
    <row r="84" spans="1:9" hidden="1" x14ac:dyDescent="0.25">
      <c r="A84" s="5" t="s">
        <v>91</v>
      </c>
      <c r="B84" s="13">
        <v>4687.8181999999997</v>
      </c>
      <c r="C84" s="12">
        <v>28</v>
      </c>
      <c r="D84" s="12">
        <v>40.97363</v>
      </c>
      <c r="E84" s="12" t="s">
        <v>28</v>
      </c>
      <c r="F84" s="12">
        <v>15</v>
      </c>
      <c r="G84" s="71" t="s">
        <v>28</v>
      </c>
      <c r="H84" s="17">
        <v>15.16</v>
      </c>
      <c r="I84" s="53" t="s">
        <v>28</v>
      </c>
    </row>
    <row r="85" spans="1:9" hidden="1" x14ac:dyDescent="0.25">
      <c r="A85" s="5" t="s">
        <v>239</v>
      </c>
      <c r="B85" s="13">
        <v>4731.5455000000002</v>
      </c>
      <c r="C85" s="12">
        <v>32</v>
      </c>
      <c r="D85" s="12">
        <v>20.914709999999999</v>
      </c>
      <c r="E85" s="12">
        <v>32.4</v>
      </c>
      <c r="F85" s="12">
        <v>47</v>
      </c>
      <c r="G85" s="71" t="s">
        <v>28</v>
      </c>
      <c r="H85" s="17">
        <v>47.4</v>
      </c>
      <c r="I85" s="71">
        <v>6.1950960000000004</v>
      </c>
    </row>
    <row r="86" spans="1:9" hidden="1" x14ac:dyDescent="0.25">
      <c r="A86" s="5" t="s">
        <v>80</v>
      </c>
      <c r="B86" s="13">
        <v>4959.3635999999997</v>
      </c>
      <c r="C86" s="12">
        <v>35</v>
      </c>
      <c r="D86" s="12">
        <v>11.911820000000001</v>
      </c>
      <c r="E86" s="12">
        <v>17.7</v>
      </c>
      <c r="F86" s="12" t="s">
        <v>28</v>
      </c>
      <c r="G86" s="71">
        <v>38.65</v>
      </c>
      <c r="H86" s="17">
        <v>54.14</v>
      </c>
      <c r="I86" s="53">
        <v>9.2657910000000001</v>
      </c>
    </row>
    <row r="87" spans="1:9" hidden="1" x14ac:dyDescent="0.25">
      <c r="A87" s="5" t="s">
        <v>24</v>
      </c>
      <c r="B87" s="13">
        <v>4983.9920000000002</v>
      </c>
      <c r="C87" s="12" t="s">
        <v>28</v>
      </c>
      <c r="D87" s="12">
        <v>57.905819999999999</v>
      </c>
      <c r="E87" s="12">
        <v>21.1</v>
      </c>
      <c r="F87" s="12" t="s">
        <v>28</v>
      </c>
      <c r="G87" s="71" t="s">
        <v>28</v>
      </c>
      <c r="H87" s="17" t="s">
        <v>28</v>
      </c>
      <c r="I87" s="71" t="s">
        <v>28</v>
      </c>
    </row>
    <row r="88" spans="1:9" hidden="1" x14ac:dyDescent="0.25">
      <c r="A88" s="5" t="s">
        <v>98</v>
      </c>
      <c r="B88" s="13">
        <v>5026.8181999999997</v>
      </c>
      <c r="C88" s="12" t="s">
        <v>28</v>
      </c>
      <c r="D88" s="12" t="s">
        <v>28</v>
      </c>
      <c r="E88" s="12" t="s">
        <v>28</v>
      </c>
      <c r="F88" s="12" t="s">
        <v>28</v>
      </c>
      <c r="G88" s="71" t="s">
        <v>28</v>
      </c>
      <c r="H88" s="17">
        <v>32.68</v>
      </c>
      <c r="I88" s="71" t="s">
        <v>28</v>
      </c>
    </row>
    <row r="89" spans="1:9" hidden="1" x14ac:dyDescent="0.25">
      <c r="A89" s="5" t="s">
        <v>116</v>
      </c>
      <c r="B89" s="13">
        <v>5093.2727000000004</v>
      </c>
      <c r="C89" s="12">
        <v>39</v>
      </c>
      <c r="D89" s="12">
        <v>17.79045</v>
      </c>
      <c r="E89" s="12">
        <v>37.1</v>
      </c>
      <c r="F89" s="12" t="s">
        <v>28</v>
      </c>
      <c r="G89" s="71">
        <v>44</v>
      </c>
      <c r="H89" s="17">
        <v>59.68</v>
      </c>
      <c r="I89" s="53">
        <v>19.018899999999999</v>
      </c>
    </row>
    <row r="90" spans="1:9" hidden="1" x14ac:dyDescent="0.25">
      <c r="A90" s="5" t="s">
        <v>114</v>
      </c>
      <c r="B90" s="13">
        <v>5284</v>
      </c>
      <c r="C90" s="12" t="s">
        <v>28</v>
      </c>
      <c r="D90" s="12" t="s">
        <v>28</v>
      </c>
      <c r="E90" s="12" t="s">
        <v>28</v>
      </c>
      <c r="F90" s="12" t="s">
        <v>28</v>
      </c>
      <c r="G90" s="71" t="s">
        <v>28</v>
      </c>
      <c r="H90" s="17">
        <v>34.28</v>
      </c>
      <c r="I90" s="71" t="s">
        <v>28</v>
      </c>
    </row>
    <row r="91" spans="1:9" hidden="1" x14ac:dyDescent="0.25">
      <c r="A91" s="5" t="s">
        <v>102</v>
      </c>
      <c r="B91" s="13">
        <v>5427.3635999999997</v>
      </c>
      <c r="C91" s="12">
        <v>35</v>
      </c>
      <c r="D91" s="12">
        <v>12.365170000000001</v>
      </c>
      <c r="E91" s="12">
        <v>36.6</v>
      </c>
      <c r="F91" s="12" t="s">
        <v>28</v>
      </c>
      <c r="G91" s="71">
        <v>28.25</v>
      </c>
      <c r="H91" s="17">
        <v>44.5</v>
      </c>
      <c r="I91" s="71">
        <v>1.9343680000000001</v>
      </c>
    </row>
    <row r="92" spans="1:9" hidden="1" x14ac:dyDescent="0.25">
      <c r="A92" s="5" t="s">
        <v>209</v>
      </c>
      <c r="B92" s="13">
        <v>5492.9090999999999</v>
      </c>
      <c r="C92" s="12" t="s">
        <v>28</v>
      </c>
      <c r="D92" s="12" t="s">
        <v>28</v>
      </c>
      <c r="E92" s="12">
        <v>23.5</v>
      </c>
      <c r="F92" s="12" t="s">
        <v>28</v>
      </c>
      <c r="G92" s="71" t="s">
        <v>28</v>
      </c>
      <c r="H92" s="17" t="s">
        <v>28</v>
      </c>
      <c r="I92" s="71" t="s">
        <v>28</v>
      </c>
    </row>
    <row r="93" spans="1:9" hidden="1" x14ac:dyDescent="0.25">
      <c r="A93" s="5" t="s">
        <v>99</v>
      </c>
      <c r="B93" s="13">
        <v>5581.2727000000004</v>
      </c>
      <c r="C93" s="12" t="s">
        <v>28</v>
      </c>
      <c r="D93" s="12">
        <v>7.2448639999999997</v>
      </c>
      <c r="E93" s="12" t="s">
        <v>28</v>
      </c>
      <c r="F93" s="12" t="s">
        <v>28</v>
      </c>
      <c r="G93" s="71">
        <v>16.649999999999999</v>
      </c>
      <c r="H93" s="17">
        <v>49.82</v>
      </c>
      <c r="I93" s="53" t="s">
        <v>28</v>
      </c>
    </row>
    <row r="94" spans="1:9" hidden="1" x14ac:dyDescent="0.25">
      <c r="A94" s="5" t="s">
        <v>211</v>
      </c>
      <c r="B94" s="13">
        <v>5730.2727000000004</v>
      </c>
      <c r="C94" s="12" t="s">
        <v>28</v>
      </c>
      <c r="D94" s="12" t="s">
        <v>28</v>
      </c>
      <c r="E94" s="12">
        <v>29.4</v>
      </c>
      <c r="F94" s="12" t="s">
        <v>28</v>
      </c>
      <c r="G94" s="71" t="s">
        <v>28</v>
      </c>
      <c r="H94" s="17" t="s">
        <v>28</v>
      </c>
      <c r="I94" s="53" t="s">
        <v>28</v>
      </c>
    </row>
    <row r="95" spans="1:9" hidden="1" x14ac:dyDescent="0.25">
      <c r="A95" s="5" t="s">
        <v>109</v>
      </c>
      <c r="B95" s="13">
        <v>5780.7272999999996</v>
      </c>
      <c r="C95" s="12">
        <v>36</v>
      </c>
      <c r="D95" s="12">
        <v>26.807449999999999</v>
      </c>
      <c r="E95" s="12">
        <v>27.8</v>
      </c>
      <c r="F95" s="12">
        <v>28</v>
      </c>
      <c r="G95" s="71" t="s">
        <v>28</v>
      </c>
      <c r="H95" s="17">
        <v>34.68</v>
      </c>
      <c r="I95" s="71">
        <v>2.686401</v>
      </c>
    </row>
    <row r="96" spans="1:9" hidden="1" x14ac:dyDescent="0.25">
      <c r="A96" s="5" t="s">
        <v>141</v>
      </c>
      <c r="B96" s="13">
        <v>5902.4321</v>
      </c>
      <c r="C96" s="12" t="s">
        <v>28</v>
      </c>
      <c r="D96" s="12" t="s">
        <v>28</v>
      </c>
      <c r="E96" s="12" t="s">
        <v>28</v>
      </c>
      <c r="F96" s="12" t="s">
        <v>28</v>
      </c>
      <c r="G96" s="71" t="s">
        <v>28</v>
      </c>
      <c r="H96" s="17">
        <v>29.04</v>
      </c>
      <c r="I96" s="71" t="s">
        <v>28</v>
      </c>
    </row>
    <row r="97" spans="1:9" hidden="1" x14ac:dyDescent="0.25">
      <c r="A97" s="5" t="s">
        <v>210</v>
      </c>
      <c r="B97" s="13">
        <v>5906</v>
      </c>
      <c r="C97" s="12" t="s">
        <v>28</v>
      </c>
      <c r="D97" s="12" t="s">
        <v>28</v>
      </c>
      <c r="E97" s="12">
        <v>26.7</v>
      </c>
      <c r="F97" s="12" t="s">
        <v>28</v>
      </c>
      <c r="G97" s="71" t="s">
        <v>28</v>
      </c>
      <c r="H97" s="17" t="s">
        <v>28</v>
      </c>
      <c r="I97" s="71" t="s">
        <v>28</v>
      </c>
    </row>
    <row r="98" spans="1:9" hidden="1" x14ac:dyDescent="0.25">
      <c r="A98" s="5" t="s">
        <v>136</v>
      </c>
      <c r="B98" s="13">
        <v>5953.0909000000001</v>
      </c>
      <c r="C98" s="12">
        <v>41</v>
      </c>
      <c r="D98" s="12" t="s">
        <v>28</v>
      </c>
      <c r="E98" s="12">
        <v>43.4</v>
      </c>
      <c r="F98" s="12">
        <v>44</v>
      </c>
      <c r="G98" s="71">
        <v>30</v>
      </c>
      <c r="H98" s="17">
        <v>35.380000000000003</v>
      </c>
      <c r="I98" s="71" t="s">
        <v>28</v>
      </c>
    </row>
    <row r="99" spans="1:9" hidden="1" x14ac:dyDescent="0.25">
      <c r="A99" s="5" t="s">
        <v>214</v>
      </c>
      <c r="B99" s="13">
        <v>5979.9090999999999</v>
      </c>
      <c r="C99" s="12" t="s">
        <v>28</v>
      </c>
      <c r="D99" s="12" t="s">
        <v>28</v>
      </c>
      <c r="E99" s="12">
        <v>33.200000000000003</v>
      </c>
      <c r="F99" s="12" t="s">
        <v>28</v>
      </c>
      <c r="G99" s="71" t="s">
        <v>28</v>
      </c>
      <c r="H99" s="17" t="s">
        <v>28</v>
      </c>
      <c r="I99" s="71" t="s">
        <v>28</v>
      </c>
    </row>
    <row r="100" spans="1:9" hidden="1" x14ac:dyDescent="0.25">
      <c r="A100" s="5" t="s">
        <v>97</v>
      </c>
      <c r="B100" s="13">
        <v>6040.9862999999996</v>
      </c>
      <c r="C100" s="12">
        <v>35</v>
      </c>
      <c r="D100" s="12">
        <v>20.807690000000001</v>
      </c>
      <c r="E100" s="12" t="s">
        <v>28</v>
      </c>
      <c r="F100" s="12" t="s">
        <v>28</v>
      </c>
      <c r="G100" s="71" t="s">
        <v>28</v>
      </c>
      <c r="H100" s="17">
        <v>35.54</v>
      </c>
      <c r="I100" s="71">
        <v>7.931978</v>
      </c>
    </row>
    <row r="101" spans="1:9" hidden="1" x14ac:dyDescent="0.25">
      <c r="A101" s="5" t="s">
        <v>107</v>
      </c>
      <c r="B101" s="13">
        <v>6108.5455000000002</v>
      </c>
      <c r="C101" s="12">
        <v>31</v>
      </c>
      <c r="D101" s="12">
        <v>27.190750000000001</v>
      </c>
      <c r="E101" s="12">
        <v>17.7</v>
      </c>
      <c r="F101" s="12" t="s">
        <v>28</v>
      </c>
      <c r="G101" s="71" t="s">
        <v>28</v>
      </c>
      <c r="H101" s="17">
        <v>35.840000000000003</v>
      </c>
      <c r="I101" s="71">
        <v>71.671539999999993</v>
      </c>
    </row>
    <row r="102" spans="1:9" hidden="1" x14ac:dyDescent="0.25">
      <c r="A102" s="5" t="s">
        <v>177</v>
      </c>
      <c r="B102" s="13">
        <v>6246.5455000000002</v>
      </c>
      <c r="C102" s="12">
        <v>33</v>
      </c>
      <c r="D102" s="12" t="s">
        <v>28</v>
      </c>
      <c r="E102" s="12">
        <v>16.3</v>
      </c>
      <c r="F102" s="12" t="s">
        <v>28</v>
      </c>
      <c r="G102" s="71" t="s">
        <v>28</v>
      </c>
      <c r="H102" s="17" t="s">
        <v>28</v>
      </c>
      <c r="I102" s="71" t="s">
        <v>28</v>
      </c>
    </row>
    <row r="103" spans="1:9" hidden="1" x14ac:dyDescent="0.25">
      <c r="A103" s="5" t="s">
        <v>213</v>
      </c>
      <c r="B103" s="13">
        <v>6262.0909000000001</v>
      </c>
      <c r="C103" s="12" t="s">
        <v>28</v>
      </c>
      <c r="D103" s="12" t="s">
        <v>28</v>
      </c>
      <c r="E103" s="12">
        <v>45.4</v>
      </c>
      <c r="F103" s="12" t="s">
        <v>28</v>
      </c>
      <c r="G103" s="71" t="s">
        <v>28</v>
      </c>
      <c r="H103" s="17" t="s">
        <v>28</v>
      </c>
      <c r="I103" s="71" t="s">
        <v>28</v>
      </c>
    </row>
    <row r="104" spans="1:9" hidden="1" x14ac:dyDescent="0.25">
      <c r="A104" s="5" t="s">
        <v>22</v>
      </c>
      <c r="B104" s="13">
        <v>6348</v>
      </c>
      <c r="C104" s="12">
        <v>29</v>
      </c>
      <c r="D104" s="12">
        <v>25.419250000000002</v>
      </c>
      <c r="E104" s="12">
        <v>16</v>
      </c>
      <c r="F104" s="12" t="s">
        <v>28</v>
      </c>
      <c r="G104" s="71" t="s">
        <v>28</v>
      </c>
      <c r="H104" s="17">
        <v>32.56</v>
      </c>
      <c r="I104" s="71" t="s">
        <v>28</v>
      </c>
    </row>
    <row r="105" spans="1:9" hidden="1" x14ac:dyDescent="0.25">
      <c r="A105" s="5" t="s">
        <v>127</v>
      </c>
      <c r="B105" s="13">
        <v>6357.6364000000003</v>
      </c>
      <c r="C105" s="12">
        <v>28</v>
      </c>
      <c r="D105" s="12">
        <v>37.009140000000002</v>
      </c>
      <c r="E105" s="12">
        <v>31.3</v>
      </c>
      <c r="F105" s="12">
        <v>30</v>
      </c>
      <c r="G105" s="71">
        <v>40</v>
      </c>
      <c r="H105" s="17">
        <v>64.16</v>
      </c>
      <c r="I105" s="71" t="s">
        <v>28</v>
      </c>
    </row>
    <row r="106" spans="1:9" hidden="1" x14ac:dyDescent="0.25">
      <c r="A106" s="5" t="s">
        <v>115</v>
      </c>
      <c r="B106" s="13">
        <v>6433</v>
      </c>
      <c r="C106" s="12">
        <v>30</v>
      </c>
      <c r="D106" s="12">
        <v>17.066310000000001</v>
      </c>
      <c r="E106" s="12">
        <v>44.4</v>
      </c>
      <c r="F106" s="12">
        <v>49</v>
      </c>
      <c r="G106" s="71">
        <v>25</v>
      </c>
      <c r="H106" s="17">
        <v>41.9</v>
      </c>
      <c r="I106" s="71">
        <v>0.42175760000000001</v>
      </c>
    </row>
    <row r="107" spans="1:9" hidden="1" x14ac:dyDescent="0.25">
      <c r="A107" s="5" t="s">
        <v>105</v>
      </c>
      <c r="B107" s="13">
        <v>6434.2727000000004</v>
      </c>
      <c r="C107" s="12" t="s">
        <v>28</v>
      </c>
      <c r="D107" s="12" t="s">
        <v>28</v>
      </c>
      <c r="E107" s="12">
        <v>39.700000000000003</v>
      </c>
      <c r="F107" s="12">
        <v>37</v>
      </c>
      <c r="G107" s="71" t="s">
        <v>28</v>
      </c>
      <c r="H107" s="17">
        <v>19.62</v>
      </c>
      <c r="I107" s="71" t="s">
        <v>28</v>
      </c>
    </row>
    <row r="108" spans="1:9" hidden="1" x14ac:dyDescent="0.25">
      <c r="A108" s="5" t="s">
        <v>119</v>
      </c>
      <c r="B108" s="13">
        <v>6533.5455000000002</v>
      </c>
      <c r="C108" s="12">
        <v>34</v>
      </c>
      <c r="D108" s="12" t="s">
        <v>28</v>
      </c>
      <c r="E108" s="12">
        <v>43.8</v>
      </c>
      <c r="F108" s="12">
        <v>45</v>
      </c>
      <c r="G108" s="71" t="s">
        <v>28</v>
      </c>
      <c r="H108" s="17">
        <v>33.76</v>
      </c>
      <c r="I108" s="71" t="s">
        <v>28</v>
      </c>
    </row>
    <row r="109" spans="1:9" hidden="1" x14ac:dyDescent="0.25">
      <c r="A109" s="5" t="s">
        <v>112</v>
      </c>
      <c r="B109" s="13">
        <v>6573.8181999999997</v>
      </c>
      <c r="C109" s="12" t="s">
        <v>28</v>
      </c>
      <c r="D109" s="12" t="s">
        <v>28</v>
      </c>
      <c r="E109" s="12" t="s">
        <v>28</v>
      </c>
      <c r="F109" s="12" t="s">
        <v>28</v>
      </c>
      <c r="G109" s="71" t="s">
        <v>28</v>
      </c>
      <c r="H109" s="17">
        <v>32.22</v>
      </c>
      <c r="I109" s="71" t="s">
        <v>28</v>
      </c>
    </row>
    <row r="110" spans="1:9" hidden="1" x14ac:dyDescent="0.25">
      <c r="A110" s="5" t="s">
        <v>113</v>
      </c>
      <c r="B110" s="13">
        <v>6748</v>
      </c>
      <c r="C110" s="12">
        <v>20</v>
      </c>
      <c r="D110" s="12" t="s">
        <v>28</v>
      </c>
      <c r="E110" s="12">
        <v>26.8</v>
      </c>
      <c r="F110" s="12">
        <v>30</v>
      </c>
      <c r="G110" s="71">
        <v>45</v>
      </c>
      <c r="H110" s="17">
        <v>39.020000000000003</v>
      </c>
      <c r="I110" s="71">
        <v>5.5969379999999997</v>
      </c>
    </row>
    <row r="111" spans="1:9" hidden="1" x14ac:dyDescent="0.25">
      <c r="A111" s="5" t="s">
        <v>121</v>
      </c>
      <c r="B111" s="13">
        <v>6850.2727000000004</v>
      </c>
      <c r="C111" s="12">
        <v>35</v>
      </c>
      <c r="D111" s="12">
        <v>29.211459999999999</v>
      </c>
      <c r="E111" s="12">
        <v>29.8</v>
      </c>
      <c r="F111" s="12">
        <v>28</v>
      </c>
      <c r="G111" s="71" t="s">
        <v>28</v>
      </c>
      <c r="H111" s="17">
        <v>33.340000000000003</v>
      </c>
      <c r="I111" s="71">
        <v>8.521801</v>
      </c>
    </row>
    <row r="112" spans="1:9" hidden="1" x14ac:dyDescent="0.25">
      <c r="A112" s="5" t="s">
        <v>106</v>
      </c>
      <c r="B112" s="13">
        <v>6919</v>
      </c>
      <c r="C112" s="12">
        <v>32</v>
      </c>
      <c r="D112" s="12">
        <v>13.7021</v>
      </c>
      <c r="E112" s="12">
        <v>12.5</v>
      </c>
      <c r="F112" s="12">
        <v>0</v>
      </c>
      <c r="G112" s="71">
        <v>31.25</v>
      </c>
      <c r="H112" s="17">
        <v>37.24</v>
      </c>
      <c r="I112" s="71" t="s">
        <v>28</v>
      </c>
    </row>
    <row r="113" spans="1:9" hidden="1" x14ac:dyDescent="0.25">
      <c r="A113" s="5" t="s">
        <v>104</v>
      </c>
      <c r="B113" s="13">
        <v>6936.5455000000002</v>
      </c>
      <c r="C113" s="12" t="s">
        <v>28</v>
      </c>
      <c r="D113" s="12" t="s">
        <v>28</v>
      </c>
      <c r="E113" s="12" t="s">
        <v>28</v>
      </c>
      <c r="F113" s="12" t="s">
        <v>28</v>
      </c>
      <c r="G113" s="71" t="s">
        <v>28</v>
      </c>
      <c r="H113" s="17">
        <v>36.28</v>
      </c>
      <c r="I113" s="71" t="s">
        <v>28</v>
      </c>
    </row>
    <row r="114" spans="1:9" hidden="1" x14ac:dyDescent="0.25">
      <c r="A114" s="5" t="s">
        <v>212</v>
      </c>
      <c r="B114" s="13">
        <v>7013.9090999999999</v>
      </c>
      <c r="C114" s="12" t="s">
        <v>28</v>
      </c>
      <c r="D114" s="12" t="s">
        <v>28</v>
      </c>
      <c r="E114" s="12">
        <v>22.9</v>
      </c>
      <c r="F114" s="12" t="s">
        <v>28</v>
      </c>
      <c r="G114" s="71" t="s">
        <v>28</v>
      </c>
      <c r="H114" s="17" t="s">
        <v>28</v>
      </c>
      <c r="I114" s="71" t="s">
        <v>28</v>
      </c>
    </row>
    <row r="115" spans="1:9" hidden="1" x14ac:dyDescent="0.25">
      <c r="A115" s="5" t="s">
        <v>110</v>
      </c>
      <c r="B115" s="13">
        <v>7065.2727000000004</v>
      </c>
      <c r="C115" s="12">
        <v>23</v>
      </c>
      <c r="D115" s="12">
        <v>9.8373679999999997</v>
      </c>
      <c r="E115" s="12">
        <v>21.4</v>
      </c>
      <c r="F115" s="12">
        <v>6</v>
      </c>
      <c r="G115" s="71">
        <v>17.55</v>
      </c>
      <c r="H115" s="17">
        <v>35.9</v>
      </c>
      <c r="I115" s="71">
        <v>33.805239999999998</v>
      </c>
    </row>
    <row r="116" spans="1:9" hidden="1" x14ac:dyDescent="0.25">
      <c r="A116" s="5" t="s">
        <v>117</v>
      </c>
      <c r="B116" s="13">
        <v>7085.8181999999997</v>
      </c>
      <c r="C116" s="12">
        <v>23</v>
      </c>
      <c r="D116" s="12" t="s">
        <v>28</v>
      </c>
      <c r="E116" s="12">
        <v>34</v>
      </c>
      <c r="F116" s="12">
        <v>36</v>
      </c>
      <c r="G116" s="71">
        <v>71</v>
      </c>
      <c r="H116" s="17">
        <v>53.6</v>
      </c>
      <c r="I116" s="71" t="s">
        <v>28</v>
      </c>
    </row>
    <row r="117" spans="1:9" hidden="1" x14ac:dyDescent="0.25">
      <c r="A117" s="5" t="s">
        <v>5</v>
      </c>
      <c r="B117" s="13">
        <v>7503.7272999999996</v>
      </c>
      <c r="C117" s="12">
        <v>34</v>
      </c>
      <c r="D117" s="12">
        <v>33.011110000000002</v>
      </c>
      <c r="E117" s="12">
        <v>26.1</v>
      </c>
      <c r="F117" s="12">
        <v>35</v>
      </c>
      <c r="G117" s="71">
        <v>29</v>
      </c>
      <c r="H117" s="17">
        <v>41.48</v>
      </c>
      <c r="I117" s="53" t="s">
        <v>28</v>
      </c>
    </row>
    <row r="118" spans="1:9" hidden="1" x14ac:dyDescent="0.25">
      <c r="A118" s="5" t="s">
        <v>92</v>
      </c>
      <c r="B118" s="13">
        <v>7607.0135</v>
      </c>
      <c r="C118" s="12">
        <v>29</v>
      </c>
      <c r="D118" s="12">
        <v>18.07123</v>
      </c>
      <c r="E118" s="12" t="s">
        <v>28</v>
      </c>
      <c r="F118" s="12" t="s">
        <v>28</v>
      </c>
      <c r="G118" s="71" t="s">
        <v>28</v>
      </c>
      <c r="H118" s="17">
        <v>37.659999999999997</v>
      </c>
      <c r="I118" s="53">
        <v>31.419090000000001</v>
      </c>
    </row>
    <row r="119" spans="1:9" hidden="1" x14ac:dyDescent="0.25">
      <c r="A119" s="5" t="s">
        <v>111</v>
      </c>
      <c r="B119" s="13">
        <v>8000.6364000000003</v>
      </c>
      <c r="C119" s="12">
        <v>38</v>
      </c>
      <c r="D119" s="12">
        <v>17.03049</v>
      </c>
      <c r="E119" s="12">
        <v>7.7</v>
      </c>
      <c r="F119" s="12">
        <v>5</v>
      </c>
      <c r="G119" s="71">
        <v>34.299999999999997</v>
      </c>
      <c r="H119" s="17">
        <v>47.56</v>
      </c>
      <c r="I119" s="71">
        <v>29.792760000000001</v>
      </c>
    </row>
    <row r="120" spans="1:9" hidden="1" x14ac:dyDescent="0.25">
      <c r="A120" s="5" t="s">
        <v>130</v>
      </c>
      <c r="B120" s="13">
        <v>8553.5455000000002</v>
      </c>
      <c r="C120" s="12">
        <v>27</v>
      </c>
      <c r="D120" s="12">
        <v>28.41949</v>
      </c>
      <c r="E120" s="12">
        <v>26.3</v>
      </c>
      <c r="F120" s="12">
        <v>33</v>
      </c>
      <c r="G120" s="71">
        <v>34</v>
      </c>
      <c r="H120" s="17">
        <v>26.88</v>
      </c>
      <c r="I120" s="53">
        <v>86.36354</v>
      </c>
    </row>
    <row r="121" spans="1:9" hidden="1" x14ac:dyDescent="0.25">
      <c r="A121" s="5" t="s">
        <v>140</v>
      </c>
      <c r="B121" s="13">
        <v>9063.8181999999997</v>
      </c>
      <c r="C121" s="12">
        <v>27</v>
      </c>
      <c r="D121" s="12">
        <v>14.66033</v>
      </c>
      <c r="E121" s="12">
        <v>27.3</v>
      </c>
      <c r="F121" s="12">
        <v>22</v>
      </c>
      <c r="G121" s="71" t="s">
        <v>28</v>
      </c>
      <c r="H121" s="17">
        <v>50.88</v>
      </c>
      <c r="I121" s="53" t="s">
        <v>28</v>
      </c>
    </row>
    <row r="122" spans="1:9" hidden="1" x14ac:dyDescent="0.25">
      <c r="A122" s="5" t="s">
        <v>128</v>
      </c>
      <c r="B122" s="13">
        <v>9064.2726999999995</v>
      </c>
      <c r="C122" s="12">
        <v>15</v>
      </c>
      <c r="D122" s="12" t="s">
        <v>28</v>
      </c>
      <c r="E122" s="12">
        <v>18.899999999999999</v>
      </c>
      <c r="F122" s="12">
        <v>17</v>
      </c>
      <c r="G122" s="71">
        <v>39</v>
      </c>
      <c r="H122" s="17">
        <v>31.66</v>
      </c>
      <c r="I122" s="71" t="s">
        <v>28</v>
      </c>
    </row>
    <row r="123" spans="1:9" hidden="1" x14ac:dyDescent="0.25">
      <c r="A123" s="5" t="s">
        <v>15</v>
      </c>
      <c r="B123" s="13">
        <v>9176.3636000000006</v>
      </c>
      <c r="C123" s="12">
        <v>21</v>
      </c>
      <c r="D123" s="12">
        <v>47.616120000000002</v>
      </c>
      <c r="E123" s="12">
        <v>12.2</v>
      </c>
      <c r="F123" s="12">
        <v>13</v>
      </c>
      <c r="G123" s="71">
        <v>27</v>
      </c>
      <c r="H123" s="17">
        <v>33.979999999999997</v>
      </c>
      <c r="I123" s="71">
        <v>37.160330000000002</v>
      </c>
    </row>
    <row r="124" spans="1:9" hidden="1" x14ac:dyDescent="0.25">
      <c r="A124" s="5" t="s">
        <v>138</v>
      </c>
      <c r="B124" s="13">
        <v>9347.9091000000008</v>
      </c>
      <c r="C124" s="12">
        <v>37</v>
      </c>
      <c r="D124" s="12">
        <v>23.74156</v>
      </c>
      <c r="E124" s="12">
        <v>28.3</v>
      </c>
      <c r="F124" s="12">
        <v>39</v>
      </c>
      <c r="G124" s="71">
        <v>49</v>
      </c>
      <c r="H124" s="17">
        <v>31.88</v>
      </c>
      <c r="I124" s="71">
        <v>41.614469999999997</v>
      </c>
    </row>
    <row r="125" spans="1:9" hidden="1" x14ac:dyDescent="0.25">
      <c r="A125" s="5" t="s">
        <v>122</v>
      </c>
      <c r="B125" s="13">
        <v>9459.8181999999997</v>
      </c>
      <c r="C125" s="12">
        <v>29</v>
      </c>
      <c r="D125" s="12">
        <v>8.8988320000000005</v>
      </c>
      <c r="E125" s="12">
        <v>18.3</v>
      </c>
      <c r="F125" s="12">
        <v>17</v>
      </c>
      <c r="G125" s="71" t="s">
        <v>28</v>
      </c>
      <c r="H125" s="17">
        <v>28.84</v>
      </c>
      <c r="I125" s="71">
        <v>11.392720000000001</v>
      </c>
    </row>
    <row r="126" spans="1:9" hidden="1" x14ac:dyDescent="0.25">
      <c r="A126" s="5" t="s">
        <v>125</v>
      </c>
      <c r="B126" s="13">
        <v>9514.7273000000005</v>
      </c>
      <c r="C126" s="12">
        <v>23</v>
      </c>
      <c r="D126" s="12">
        <v>9.9466439999999992</v>
      </c>
      <c r="E126" s="12">
        <v>9.3000000000000007</v>
      </c>
      <c r="F126" s="12" t="s">
        <v>28</v>
      </c>
      <c r="G126" s="71">
        <v>29.8</v>
      </c>
      <c r="H126" s="17">
        <v>40.340000000000003</v>
      </c>
      <c r="I126" s="71">
        <v>77.146100000000004</v>
      </c>
    </row>
    <row r="127" spans="1:9" hidden="1" x14ac:dyDescent="0.25">
      <c r="A127" s="5" t="s">
        <v>137</v>
      </c>
      <c r="B127" s="13">
        <v>9838.9091000000008</v>
      </c>
      <c r="C127" s="12">
        <v>14</v>
      </c>
      <c r="D127" s="12">
        <v>7.923832</v>
      </c>
      <c r="E127" s="12">
        <v>27.8</v>
      </c>
      <c r="F127" s="12">
        <v>29</v>
      </c>
      <c r="G127" s="71">
        <v>37</v>
      </c>
      <c r="H127" s="17">
        <v>20.14</v>
      </c>
      <c r="I127" s="71">
        <v>10.49737</v>
      </c>
    </row>
    <row r="128" spans="1:9" hidden="1" x14ac:dyDescent="0.25">
      <c r="A128" s="5" t="s">
        <v>131</v>
      </c>
      <c r="B128" s="13">
        <v>10309</v>
      </c>
      <c r="C128" s="12">
        <v>30</v>
      </c>
      <c r="D128" s="12">
        <v>10.29391</v>
      </c>
      <c r="E128" s="12">
        <v>22.2</v>
      </c>
      <c r="F128" s="12">
        <v>8</v>
      </c>
      <c r="G128" s="71" t="s">
        <v>28</v>
      </c>
      <c r="H128" s="17">
        <v>34.36</v>
      </c>
      <c r="I128" s="71">
        <v>23.63692</v>
      </c>
    </row>
    <row r="129" spans="1:9" hidden="1" x14ac:dyDescent="0.25">
      <c r="A129" s="5" t="s">
        <v>126</v>
      </c>
      <c r="B129" s="13">
        <v>10339.182000000001</v>
      </c>
      <c r="C129" s="12">
        <v>23</v>
      </c>
      <c r="D129" s="12">
        <v>12.462960000000001</v>
      </c>
      <c r="E129" s="12">
        <v>17.3</v>
      </c>
      <c r="F129" s="12">
        <v>17</v>
      </c>
      <c r="G129" s="71">
        <v>20</v>
      </c>
      <c r="H129" s="17" t="s">
        <v>28</v>
      </c>
      <c r="I129" s="71" t="s">
        <v>28</v>
      </c>
    </row>
    <row r="130" spans="1:9" hidden="1" x14ac:dyDescent="0.25">
      <c r="A130" s="5" t="s">
        <v>234</v>
      </c>
      <c r="B130" s="13">
        <v>10400</v>
      </c>
      <c r="C130" s="12" t="s">
        <v>28</v>
      </c>
      <c r="D130" s="12">
        <v>23.12593</v>
      </c>
      <c r="E130" s="12" t="s">
        <v>28</v>
      </c>
      <c r="F130" s="12" t="s">
        <v>28</v>
      </c>
      <c r="G130" s="71" t="s">
        <v>28</v>
      </c>
      <c r="H130" s="17" t="s">
        <v>28</v>
      </c>
      <c r="I130" s="53" t="s">
        <v>28</v>
      </c>
    </row>
    <row r="131" spans="1:9" hidden="1" x14ac:dyDescent="0.25">
      <c r="A131" s="5" t="s">
        <v>124</v>
      </c>
      <c r="B131" s="13">
        <v>10443.272999999999</v>
      </c>
      <c r="C131" s="12">
        <v>16</v>
      </c>
      <c r="D131" s="12">
        <v>34.953589999999998</v>
      </c>
      <c r="E131" s="12">
        <v>14</v>
      </c>
      <c r="F131" s="12">
        <v>63</v>
      </c>
      <c r="G131" s="71">
        <v>23.8</v>
      </c>
      <c r="H131" s="17">
        <v>31.16</v>
      </c>
      <c r="I131" s="71">
        <v>18.86542</v>
      </c>
    </row>
    <row r="132" spans="1:9" hidden="1" x14ac:dyDescent="0.25">
      <c r="A132" s="5" t="s">
        <v>256</v>
      </c>
      <c r="B132" s="13">
        <v>10668.364</v>
      </c>
      <c r="C132" s="12">
        <v>30</v>
      </c>
      <c r="D132" s="12" t="s">
        <v>28</v>
      </c>
      <c r="E132" s="12">
        <v>19.2</v>
      </c>
      <c r="F132" s="12" t="s">
        <v>28</v>
      </c>
      <c r="G132" s="71" t="s">
        <v>28</v>
      </c>
      <c r="H132" s="17" t="s">
        <v>28</v>
      </c>
      <c r="I132" s="71" t="s">
        <v>28</v>
      </c>
    </row>
    <row r="133" spans="1:9" hidden="1" x14ac:dyDescent="0.25">
      <c r="A133" s="5" t="s">
        <v>217</v>
      </c>
      <c r="B133" s="13">
        <v>10810.182000000001</v>
      </c>
      <c r="C133" s="12" t="s">
        <v>28</v>
      </c>
      <c r="D133" s="12" t="s">
        <v>28</v>
      </c>
      <c r="E133" s="12">
        <v>17.8</v>
      </c>
      <c r="F133" s="12" t="s">
        <v>28</v>
      </c>
      <c r="G133" s="71" t="s">
        <v>28</v>
      </c>
      <c r="H133" s="17" t="s">
        <v>28</v>
      </c>
      <c r="I133" s="53" t="s">
        <v>28</v>
      </c>
    </row>
    <row r="134" spans="1:9" hidden="1" x14ac:dyDescent="0.25">
      <c r="A134" s="5" t="s">
        <v>133</v>
      </c>
      <c r="B134" s="13">
        <v>11227.091</v>
      </c>
      <c r="C134" s="12">
        <v>16</v>
      </c>
      <c r="D134" s="12">
        <v>5.0785289999999996</v>
      </c>
      <c r="E134" s="12">
        <v>7.9</v>
      </c>
      <c r="F134" s="12" t="s">
        <v>28</v>
      </c>
      <c r="G134" s="71">
        <v>17.850000000000001</v>
      </c>
      <c r="H134" s="17">
        <v>39</v>
      </c>
      <c r="I134" s="71">
        <v>48.705100000000002</v>
      </c>
    </row>
    <row r="135" spans="1:9" hidden="1" x14ac:dyDescent="0.25">
      <c r="A135" s="5" t="s">
        <v>132</v>
      </c>
      <c r="B135" s="13">
        <v>11404.272999999999</v>
      </c>
      <c r="C135" s="12">
        <v>26</v>
      </c>
      <c r="D135" s="12">
        <v>9.3290349999999993</v>
      </c>
      <c r="E135" s="12">
        <v>20.5</v>
      </c>
      <c r="F135" s="12">
        <v>12</v>
      </c>
      <c r="G135" s="71">
        <v>16.45</v>
      </c>
      <c r="H135" s="17">
        <v>28.04</v>
      </c>
      <c r="I135" s="71">
        <v>12.94417</v>
      </c>
    </row>
    <row r="136" spans="1:9" hidden="1" x14ac:dyDescent="0.25">
      <c r="A136" s="5" t="s">
        <v>216</v>
      </c>
      <c r="B136" s="13">
        <v>11686.364</v>
      </c>
      <c r="C136" s="12" t="s">
        <v>28</v>
      </c>
      <c r="D136" s="12" t="s">
        <v>28</v>
      </c>
      <c r="E136" s="12">
        <v>11.3</v>
      </c>
      <c r="F136" s="12" t="s">
        <v>28</v>
      </c>
      <c r="G136" s="71" t="s">
        <v>28</v>
      </c>
      <c r="H136" s="17" t="s">
        <v>28</v>
      </c>
      <c r="I136" s="53" t="s">
        <v>28</v>
      </c>
    </row>
    <row r="137" spans="1:9" hidden="1" x14ac:dyDescent="0.25">
      <c r="A137" s="5" t="s">
        <v>142</v>
      </c>
      <c r="B137" s="13">
        <v>12394.272999999999</v>
      </c>
      <c r="C137" s="12">
        <v>34</v>
      </c>
      <c r="D137" s="12">
        <v>17.470960000000002</v>
      </c>
      <c r="E137" s="12">
        <v>24.3</v>
      </c>
      <c r="F137" s="12">
        <v>29</v>
      </c>
      <c r="G137" s="71" t="s">
        <v>28</v>
      </c>
      <c r="H137" s="17">
        <v>27.44</v>
      </c>
      <c r="I137" s="71">
        <v>10.18844</v>
      </c>
    </row>
    <row r="138" spans="1:9" hidden="1" x14ac:dyDescent="0.25">
      <c r="A138" s="5" t="s">
        <v>129</v>
      </c>
      <c r="B138" s="13">
        <v>12733.091</v>
      </c>
      <c r="C138" s="12">
        <v>19</v>
      </c>
      <c r="D138" s="12">
        <v>8.9226050000000008</v>
      </c>
      <c r="E138" s="12">
        <v>12.5</v>
      </c>
      <c r="F138" s="12">
        <v>5</v>
      </c>
      <c r="G138" s="71">
        <v>10</v>
      </c>
      <c r="H138" s="17">
        <v>19.14</v>
      </c>
      <c r="I138" s="71">
        <v>12.711270000000001</v>
      </c>
    </row>
    <row r="139" spans="1:9" hidden="1" x14ac:dyDescent="0.25">
      <c r="A139" s="5" t="s">
        <v>143</v>
      </c>
      <c r="B139" s="13">
        <v>12996.222</v>
      </c>
      <c r="C139" s="12" t="s">
        <v>28</v>
      </c>
      <c r="D139" s="12">
        <v>27.649819999999998</v>
      </c>
      <c r="E139" s="12">
        <v>11.4</v>
      </c>
      <c r="F139" s="12">
        <v>4</v>
      </c>
      <c r="G139" s="71" t="s">
        <v>28</v>
      </c>
      <c r="H139" s="17">
        <v>19.18</v>
      </c>
      <c r="I139" s="71" t="s">
        <v>28</v>
      </c>
    </row>
    <row r="140" spans="1:9" hidden="1" x14ac:dyDescent="0.25">
      <c r="A140" s="5" t="s">
        <v>144</v>
      </c>
      <c r="B140" s="13">
        <v>13930</v>
      </c>
      <c r="C140" s="12" t="s">
        <v>28</v>
      </c>
      <c r="D140" s="12" t="s">
        <v>28</v>
      </c>
      <c r="E140" s="12" t="s">
        <v>28</v>
      </c>
      <c r="F140" s="12" t="s">
        <v>28</v>
      </c>
      <c r="G140" s="71" t="s">
        <v>28</v>
      </c>
      <c r="H140" s="17">
        <v>18.98</v>
      </c>
      <c r="I140" s="71" t="s">
        <v>28</v>
      </c>
    </row>
    <row r="141" spans="1:9" hidden="1" x14ac:dyDescent="0.25">
      <c r="A141" s="5" t="s">
        <v>135</v>
      </c>
      <c r="B141" s="13">
        <v>14206.727000000001</v>
      </c>
      <c r="C141" s="12">
        <v>28</v>
      </c>
      <c r="D141" s="12">
        <v>11.67047</v>
      </c>
      <c r="E141" s="12">
        <v>13.2</v>
      </c>
      <c r="F141" s="12">
        <v>12</v>
      </c>
      <c r="G141" s="71">
        <v>29.85</v>
      </c>
      <c r="H141" s="17">
        <v>25.32</v>
      </c>
      <c r="I141" s="71">
        <v>21.61289</v>
      </c>
    </row>
    <row r="142" spans="1:9" hidden="1" x14ac:dyDescent="0.25">
      <c r="A142" s="5" t="s">
        <v>218</v>
      </c>
      <c r="B142" s="13">
        <v>15000</v>
      </c>
      <c r="C142" s="12" t="s">
        <v>28</v>
      </c>
      <c r="D142" s="12" t="s">
        <v>28</v>
      </c>
      <c r="E142" s="12">
        <v>15.9</v>
      </c>
      <c r="F142" s="12" t="s">
        <v>28</v>
      </c>
      <c r="G142" s="71" t="s">
        <v>28</v>
      </c>
      <c r="H142" s="17" t="s">
        <v>28</v>
      </c>
      <c r="I142" s="71" t="s">
        <v>28</v>
      </c>
    </row>
    <row r="143" spans="1:9" hidden="1" x14ac:dyDescent="0.25">
      <c r="A143" s="5" t="s">
        <v>215</v>
      </c>
      <c r="B143" s="13">
        <v>15879.091</v>
      </c>
      <c r="C143" s="12" t="s">
        <v>28</v>
      </c>
      <c r="D143" s="12" t="s">
        <v>28</v>
      </c>
      <c r="E143" s="12">
        <v>11.1</v>
      </c>
      <c r="F143" s="12" t="s">
        <v>28</v>
      </c>
      <c r="G143" s="71" t="s">
        <v>28</v>
      </c>
      <c r="H143" s="17" t="s">
        <v>28</v>
      </c>
      <c r="I143" s="71" t="s">
        <v>28</v>
      </c>
    </row>
    <row r="144" spans="1:9" hidden="1" x14ac:dyDescent="0.25">
      <c r="A144" s="5" t="s">
        <v>219</v>
      </c>
      <c r="B144" s="13">
        <v>15938.143</v>
      </c>
      <c r="C144" s="12" t="s">
        <v>28</v>
      </c>
      <c r="D144" s="12" t="s">
        <v>28</v>
      </c>
      <c r="E144" s="12">
        <v>14.8</v>
      </c>
      <c r="F144" s="12" t="s">
        <v>28</v>
      </c>
      <c r="G144" s="71" t="s">
        <v>28</v>
      </c>
      <c r="H144" s="17" t="s">
        <v>28</v>
      </c>
      <c r="I144" s="71" t="s">
        <v>28</v>
      </c>
    </row>
    <row r="145" spans="1:9" hidden="1" x14ac:dyDescent="0.25">
      <c r="A145" s="5" t="s">
        <v>227</v>
      </c>
      <c r="B145" s="13">
        <v>16000</v>
      </c>
      <c r="C145" s="12" t="s">
        <v>28</v>
      </c>
      <c r="D145" s="12" t="s">
        <v>28</v>
      </c>
      <c r="E145" s="12">
        <v>9</v>
      </c>
      <c r="F145" s="12" t="s">
        <v>28</v>
      </c>
      <c r="G145" s="71" t="s">
        <v>28</v>
      </c>
      <c r="H145" s="17" t="s">
        <v>28</v>
      </c>
      <c r="I145" s="71" t="s">
        <v>28</v>
      </c>
    </row>
    <row r="146" spans="1:9" hidden="1" x14ac:dyDescent="0.25">
      <c r="A146" s="5" t="s">
        <v>230</v>
      </c>
      <c r="B146" s="13">
        <v>16572.7</v>
      </c>
      <c r="C146" s="12">
        <v>18</v>
      </c>
      <c r="D146" s="12" t="s">
        <v>28</v>
      </c>
      <c r="E146" s="12" t="s">
        <v>28</v>
      </c>
      <c r="F146" s="12">
        <v>5</v>
      </c>
      <c r="G146" s="71" t="s">
        <v>28</v>
      </c>
      <c r="H146" s="17" t="s">
        <v>28</v>
      </c>
      <c r="I146" s="71" t="s">
        <v>28</v>
      </c>
    </row>
    <row r="147" spans="1:9" hidden="1" x14ac:dyDescent="0.25">
      <c r="A147" s="5" t="s">
        <v>139</v>
      </c>
      <c r="B147" s="13">
        <v>16919.091</v>
      </c>
      <c r="C147" s="12">
        <v>18</v>
      </c>
      <c r="D147" s="12">
        <v>11.42811</v>
      </c>
      <c r="E147" s="12">
        <v>15.7</v>
      </c>
      <c r="F147" s="12">
        <v>13</v>
      </c>
      <c r="G147" s="71">
        <v>12.35</v>
      </c>
      <c r="H147" s="17">
        <v>19.260000000000002</v>
      </c>
      <c r="I147" s="71">
        <v>24.933710000000001</v>
      </c>
    </row>
    <row r="148" spans="1:9" hidden="1" x14ac:dyDescent="0.25">
      <c r="A148" s="5" t="s">
        <v>178</v>
      </c>
      <c r="B148" s="13">
        <v>17077</v>
      </c>
      <c r="C148" s="12">
        <v>23</v>
      </c>
      <c r="D148" s="12" t="s">
        <v>28</v>
      </c>
      <c r="E148" s="12">
        <v>13.7</v>
      </c>
      <c r="F148" s="12" t="s">
        <v>28</v>
      </c>
      <c r="G148" s="71" t="s">
        <v>28</v>
      </c>
      <c r="H148" s="17" t="s">
        <v>28</v>
      </c>
      <c r="I148" s="71">
        <v>85.626829999999998</v>
      </c>
    </row>
    <row r="149" spans="1:9" hidden="1" x14ac:dyDescent="0.25">
      <c r="A149" s="5" t="s">
        <v>148</v>
      </c>
      <c r="B149" s="13">
        <v>17571.182000000001</v>
      </c>
      <c r="C149" s="12">
        <v>29</v>
      </c>
      <c r="D149" s="12">
        <v>10.211539999999999</v>
      </c>
      <c r="E149" s="12">
        <v>27</v>
      </c>
      <c r="F149" s="12">
        <v>30</v>
      </c>
      <c r="G149" s="71">
        <v>38</v>
      </c>
      <c r="H149" s="17">
        <v>28.04</v>
      </c>
      <c r="I149" s="71" t="s">
        <v>28</v>
      </c>
    </row>
    <row r="150" spans="1:9" hidden="1" x14ac:dyDescent="0.25">
      <c r="A150" t="s">
        <v>145</v>
      </c>
      <c r="B150" s="35">
        <v>17985.817999999999</v>
      </c>
      <c r="C150" s="71">
        <v>16</v>
      </c>
      <c r="D150" s="71">
        <v>10.834300000000001</v>
      </c>
      <c r="E150" s="11">
        <v>10</v>
      </c>
      <c r="F150" s="11">
        <v>9</v>
      </c>
      <c r="G150" s="71" t="s">
        <v>28</v>
      </c>
      <c r="H150" s="17">
        <v>28.06</v>
      </c>
      <c r="I150" s="71">
        <v>17.903279999999999</v>
      </c>
    </row>
    <row r="151" spans="1:9" hidden="1" x14ac:dyDescent="0.25">
      <c r="A151" t="s">
        <v>147</v>
      </c>
      <c r="B151" s="35">
        <v>18710.635999999999</v>
      </c>
      <c r="C151" s="71">
        <v>28</v>
      </c>
      <c r="D151" s="71">
        <v>11.224220000000001</v>
      </c>
      <c r="E151" s="11">
        <v>30.1</v>
      </c>
      <c r="F151" s="11">
        <v>31</v>
      </c>
      <c r="G151" s="71">
        <v>21.2</v>
      </c>
      <c r="H151" s="17">
        <v>27.82</v>
      </c>
      <c r="I151" s="71">
        <v>2.883105</v>
      </c>
    </row>
    <row r="152" spans="1:9" hidden="1" x14ac:dyDescent="0.25">
      <c r="A152" t="s">
        <v>146</v>
      </c>
      <c r="B152" s="35">
        <v>18868.817999999999</v>
      </c>
      <c r="C152" s="71">
        <v>19</v>
      </c>
      <c r="D152" s="71">
        <v>8.3422820000000009</v>
      </c>
      <c r="E152" s="11">
        <v>23.5</v>
      </c>
      <c r="F152" s="11">
        <v>19</v>
      </c>
      <c r="G152" s="71">
        <v>16.8</v>
      </c>
      <c r="H152" s="17">
        <v>21.72</v>
      </c>
      <c r="I152" s="71">
        <v>24.77176</v>
      </c>
    </row>
    <row r="153" spans="1:9" hidden="1" x14ac:dyDescent="0.25">
      <c r="A153" t="s">
        <v>149</v>
      </c>
      <c r="B153" s="35">
        <v>19008.332999999999</v>
      </c>
      <c r="C153" s="71">
        <v>19</v>
      </c>
      <c r="D153" s="71" t="s">
        <v>28</v>
      </c>
      <c r="E153" s="11">
        <v>20.5</v>
      </c>
      <c r="F153" s="11" t="s">
        <v>28</v>
      </c>
      <c r="G153" s="71">
        <v>21</v>
      </c>
      <c r="H153" s="17" t="s">
        <v>28</v>
      </c>
      <c r="I153" s="71">
        <v>166.19110000000001</v>
      </c>
    </row>
    <row r="154" spans="1:9" hidden="1" x14ac:dyDescent="0.25">
      <c r="A154" s="5" t="s">
        <v>224</v>
      </c>
      <c r="B154" s="13">
        <v>19300</v>
      </c>
      <c r="C154" s="72">
        <v>23</v>
      </c>
      <c r="D154" s="72" t="s">
        <v>28</v>
      </c>
      <c r="E154" s="12">
        <v>15.2</v>
      </c>
      <c r="F154" s="12" t="s">
        <v>28</v>
      </c>
      <c r="G154" s="71" t="s">
        <v>28</v>
      </c>
      <c r="H154" s="17" t="s">
        <v>28</v>
      </c>
      <c r="I154" s="71" t="s">
        <v>28</v>
      </c>
    </row>
    <row r="155" spans="1:9" hidden="1" x14ac:dyDescent="0.25">
      <c r="A155" s="5" t="s">
        <v>152</v>
      </c>
      <c r="B155" s="13">
        <v>19557.224999999999</v>
      </c>
      <c r="C155" s="72" t="s">
        <v>28</v>
      </c>
      <c r="D155" s="72" t="s">
        <v>28</v>
      </c>
      <c r="E155" s="12">
        <v>14.1</v>
      </c>
      <c r="F155" s="12" t="s">
        <v>28</v>
      </c>
      <c r="G155" s="72" t="s">
        <v>28</v>
      </c>
      <c r="H155" s="6">
        <v>29.26</v>
      </c>
      <c r="I155" s="71" t="s">
        <v>28</v>
      </c>
    </row>
    <row r="156" spans="1:9" hidden="1" x14ac:dyDescent="0.25">
      <c r="A156" s="5" t="s">
        <v>154</v>
      </c>
      <c r="B156" s="13">
        <v>21058.3</v>
      </c>
      <c r="C156" s="72">
        <v>18</v>
      </c>
      <c r="D156" s="72" t="s">
        <v>28</v>
      </c>
      <c r="E156" s="12" t="s">
        <v>28</v>
      </c>
      <c r="F156" s="12">
        <v>6</v>
      </c>
      <c r="G156" s="72" t="s">
        <v>28</v>
      </c>
      <c r="H156" s="6">
        <v>20.86</v>
      </c>
      <c r="I156" s="71" t="s">
        <v>28</v>
      </c>
    </row>
    <row r="157" spans="1:9" hidden="1" x14ac:dyDescent="0.25">
      <c r="A157" s="5" t="s">
        <v>221</v>
      </c>
      <c r="B157" s="13">
        <v>21800</v>
      </c>
      <c r="C157" s="72" t="s">
        <v>28</v>
      </c>
      <c r="D157" s="72" t="s">
        <v>28</v>
      </c>
      <c r="E157" s="12">
        <v>2.6</v>
      </c>
      <c r="F157" s="12" t="s">
        <v>28</v>
      </c>
      <c r="G157" s="72" t="s">
        <v>28</v>
      </c>
      <c r="H157" s="6" t="s">
        <v>28</v>
      </c>
      <c r="I157" s="71" t="s">
        <v>28</v>
      </c>
    </row>
    <row r="158" spans="1:9" hidden="1" x14ac:dyDescent="0.25">
      <c r="A158" s="5" t="s">
        <v>150</v>
      </c>
      <c r="B158" s="13">
        <v>21819.364000000001</v>
      </c>
      <c r="C158" s="72">
        <v>13</v>
      </c>
      <c r="D158" s="72" t="s">
        <v>28</v>
      </c>
      <c r="E158" s="12">
        <v>17.899999999999999</v>
      </c>
      <c r="F158" s="12">
        <v>16</v>
      </c>
      <c r="G158" s="72" t="s">
        <v>28</v>
      </c>
      <c r="H158" s="6">
        <v>12.04</v>
      </c>
      <c r="I158" s="71">
        <v>81.209209999999999</v>
      </c>
    </row>
    <row r="159" spans="1:9" hidden="1" x14ac:dyDescent="0.25">
      <c r="A159" s="5" t="s">
        <v>159</v>
      </c>
      <c r="B159" s="13">
        <v>22418.2</v>
      </c>
      <c r="C159" s="72">
        <v>14</v>
      </c>
      <c r="D159" s="72" t="s">
        <v>28</v>
      </c>
      <c r="E159" s="12" t="s">
        <v>28</v>
      </c>
      <c r="F159" s="12">
        <v>8</v>
      </c>
      <c r="G159" s="72" t="s">
        <v>28</v>
      </c>
      <c r="H159" s="6">
        <v>27</v>
      </c>
      <c r="I159" s="71" t="s">
        <v>28</v>
      </c>
    </row>
    <row r="160" spans="1:9" hidden="1" x14ac:dyDescent="0.25">
      <c r="A160" s="5" t="s">
        <v>153</v>
      </c>
      <c r="B160" s="13">
        <v>22541.5</v>
      </c>
      <c r="C160" s="72">
        <v>16</v>
      </c>
      <c r="D160" s="72" t="s">
        <v>28</v>
      </c>
      <c r="E160" s="12">
        <v>12.8</v>
      </c>
      <c r="F160" s="12" t="s">
        <v>28</v>
      </c>
      <c r="G160" s="72">
        <v>29</v>
      </c>
      <c r="H160" s="6">
        <v>22.88</v>
      </c>
      <c r="I160" s="71">
        <v>53.45232</v>
      </c>
    </row>
    <row r="161" spans="1:9" hidden="1" x14ac:dyDescent="0.25">
      <c r="A161" s="5" t="s">
        <v>151</v>
      </c>
      <c r="B161" s="13">
        <v>22793.817999999999</v>
      </c>
      <c r="C161" s="72">
        <v>22</v>
      </c>
      <c r="D161" s="72">
        <v>3.5142310000000001</v>
      </c>
      <c r="E161" s="12">
        <v>16.5</v>
      </c>
      <c r="F161" s="12">
        <v>19</v>
      </c>
      <c r="G161" s="72">
        <v>23.9</v>
      </c>
      <c r="H161" s="6">
        <v>21.78</v>
      </c>
      <c r="I161" s="71">
        <v>47.506019999999999</v>
      </c>
    </row>
    <row r="162" spans="1:9" hidden="1" x14ac:dyDescent="0.25">
      <c r="A162" s="5" t="s">
        <v>160</v>
      </c>
      <c r="B162" s="13">
        <v>24277.817999999999</v>
      </c>
      <c r="C162" s="72">
        <v>9</v>
      </c>
      <c r="D162" s="72" t="s">
        <v>28</v>
      </c>
      <c r="E162" s="12">
        <v>13.3</v>
      </c>
      <c r="F162" s="12">
        <v>13</v>
      </c>
      <c r="G162" s="72">
        <v>13</v>
      </c>
      <c r="H162" s="6">
        <v>13.06</v>
      </c>
      <c r="I162" s="71">
        <v>22.401499999999999</v>
      </c>
    </row>
    <row r="163" spans="1:9" hidden="1" x14ac:dyDescent="0.25">
      <c r="A163" s="5" t="s">
        <v>220</v>
      </c>
      <c r="B163" s="13">
        <v>25016.544999999998</v>
      </c>
      <c r="C163" s="72" t="s">
        <v>28</v>
      </c>
      <c r="D163" s="72" t="s">
        <v>28</v>
      </c>
      <c r="E163" s="12">
        <v>9.3000000000000007</v>
      </c>
      <c r="F163" s="12" t="s">
        <v>28</v>
      </c>
      <c r="G163" s="72" t="s">
        <v>28</v>
      </c>
      <c r="H163" s="6" t="s">
        <v>28</v>
      </c>
      <c r="I163" s="71" t="s">
        <v>28</v>
      </c>
    </row>
    <row r="164" spans="1:9" hidden="1" x14ac:dyDescent="0.25">
      <c r="A164" s="5" t="s">
        <v>155</v>
      </c>
      <c r="B164" s="13">
        <v>26383.091</v>
      </c>
      <c r="C164" s="72">
        <v>31</v>
      </c>
      <c r="D164" s="72" t="s">
        <v>28</v>
      </c>
      <c r="E164" s="12">
        <v>17.2</v>
      </c>
      <c r="F164" s="12">
        <v>26</v>
      </c>
      <c r="G164" s="72" t="s">
        <v>28</v>
      </c>
      <c r="H164" s="6">
        <v>25.56</v>
      </c>
      <c r="I164" s="71">
        <v>28.30902</v>
      </c>
    </row>
    <row r="165" spans="1:9" hidden="1" x14ac:dyDescent="0.25">
      <c r="A165" s="5" t="s">
        <v>161</v>
      </c>
      <c r="B165" s="13">
        <v>26461.273000000001</v>
      </c>
      <c r="C165" s="72">
        <v>17</v>
      </c>
      <c r="D165" s="72">
        <v>5.7966420000000003</v>
      </c>
      <c r="E165" s="12">
        <v>11.2</v>
      </c>
      <c r="F165" s="12">
        <v>10</v>
      </c>
      <c r="G165" s="72">
        <v>15.2</v>
      </c>
      <c r="H165" s="6">
        <v>16.100000000000001</v>
      </c>
      <c r="I165" s="71">
        <v>5.636863</v>
      </c>
    </row>
    <row r="166" spans="1:9" hidden="1" x14ac:dyDescent="0.25">
      <c r="A166" s="5" t="s">
        <v>174</v>
      </c>
      <c r="B166" s="13">
        <v>26849.091</v>
      </c>
      <c r="C166" s="72">
        <v>15</v>
      </c>
      <c r="D166" s="72" t="s">
        <v>28</v>
      </c>
      <c r="E166" s="12">
        <v>10.199999999999999</v>
      </c>
      <c r="F166" s="12">
        <v>14</v>
      </c>
      <c r="G166" s="72">
        <v>13.7</v>
      </c>
      <c r="H166" s="6">
        <v>10.26</v>
      </c>
      <c r="I166" s="71">
        <v>20.020289999999999</v>
      </c>
    </row>
    <row r="167" spans="1:9" hidden="1" x14ac:dyDescent="0.25">
      <c r="A167" s="5" t="s">
        <v>163</v>
      </c>
      <c r="B167" s="13">
        <v>27220.273000000001</v>
      </c>
      <c r="C167" s="72">
        <v>11</v>
      </c>
      <c r="D167" s="72" t="s">
        <v>28</v>
      </c>
      <c r="E167" s="12">
        <v>12</v>
      </c>
      <c r="F167" s="12">
        <v>9</v>
      </c>
      <c r="G167" s="72">
        <v>13.3</v>
      </c>
      <c r="H167" s="6">
        <v>17.14</v>
      </c>
      <c r="I167" s="71">
        <v>21.619230000000002</v>
      </c>
    </row>
    <row r="168" spans="1:9" hidden="1" x14ac:dyDescent="0.25">
      <c r="A168" s="5" t="s">
        <v>169</v>
      </c>
      <c r="B168" s="13">
        <v>27586.909</v>
      </c>
      <c r="C168" s="72">
        <v>20</v>
      </c>
      <c r="D168" s="72" t="s">
        <v>28</v>
      </c>
      <c r="E168" s="12">
        <v>9.6</v>
      </c>
      <c r="F168" s="12">
        <v>9</v>
      </c>
      <c r="G168" s="72" t="s">
        <v>28</v>
      </c>
      <c r="H168" s="6">
        <v>18.02</v>
      </c>
      <c r="I168" s="71">
        <v>32.692630000000001</v>
      </c>
    </row>
    <row r="169" spans="1:9" hidden="1" x14ac:dyDescent="0.25">
      <c r="A169" s="5" t="s">
        <v>168</v>
      </c>
      <c r="B169" s="13">
        <v>27852</v>
      </c>
      <c r="C169" s="72">
        <v>13</v>
      </c>
      <c r="D169" s="72" t="s">
        <v>28</v>
      </c>
      <c r="E169" s="12">
        <v>11.5</v>
      </c>
      <c r="F169" s="12">
        <v>10</v>
      </c>
      <c r="G169" s="72">
        <v>13</v>
      </c>
      <c r="H169" s="6">
        <v>16.579999999999998</v>
      </c>
      <c r="I169" s="71">
        <v>77.410520000000005</v>
      </c>
    </row>
    <row r="170" spans="1:9" hidden="1" x14ac:dyDescent="0.25">
      <c r="A170" s="5" t="s">
        <v>157</v>
      </c>
      <c r="B170" s="13">
        <v>27903.635999999999</v>
      </c>
      <c r="C170" s="72">
        <v>14</v>
      </c>
      <c r="D170" s="72" t="s">
        <v>28</v>
      </c>
      <c r="E170" s="12">
        <v>9.9</v>
      </c>
      <c r="F170" s="12">
        <v>11</v>
      </c>
      <c r="G170" s="72" t="s">
        <v>28</v>
      </c>
      <c r="H170" s="6">
        <v>14.34</v>
      </c>
      <c r="I170" s="71">
        <v>19.257840000000002</v>
      </c>
    </row>
    <row r="171" spans="1:9" hidden="1" x14ac:dyDescent="0.25">
      <c r="A171" s="5" t="s">
        <v>166</v>
      </c>
      <c r="B171" s="13">
        <v>28055.091</v>
      </c>
      <c r="C171" s="72">
        <v>17</v>
      </c>
      <c r="D171" s="72" t="s">
        <v>28</v>
      </c>
      <c r="E171" s="12">
        <v>12.7</v>
      </c>
      <c r="F171" s="12">
        <v>13</v>
      </c>
      <c r="G171" s="72">
        <v>13.6</v>
      </c>
      <c r="H171" s="6">
        <v>11.88</v>
      </c>
      <c r="I171" s="71">
        <v>31.952680000000001</v>
      </c>
    </row>
    <row r="172" spans="1:9" hidden="1" x14ac:dyDescent="0.25">
      <c r="A172" s="5" t="s">
        <v>162</v>
      </c>
      <c r="B172" s="13">
        <v>28321.544999999998</v>
      </c>
      <c r="C172" s="72">
        <v>18</v>
      </c>
      <c r="D172" s="72" t="s">
        <v>28</v>
      </c>
      <c r="E172" s="12">
        <v>15.4</v>
      </c>
      <c r="F172" s="12">
        <v>8</v>
      </c>
      <c r="G172" s="72" t="s">
        <v>28</v>
      </c>
      <c r="H172" s="6">
        <v>15.18</v>
      </c>
      <c r="I172" s="71">
        <v>43.574219999999997</v>
      </c>
    </row>
    <row r="173" spans="1:9" hidden="1" x14ac:dyDescent="0.25">
      <c r="A173" s="5" t="s">
        <v>158</v>
      </c>
      <c r="B173" s="13">
        <v>28480.909</v>
      </c>
      <c r="C173" s="72">
        <v>23</v>
      </c>
      <c r="D173" s="72" t="s">
        <v>28</v>
      </c>
      <c r="E173" s="12">
        <v>13.5</v>
      </c>
      <c r="F173" s="12">
        <v>14</v>
      </c>
      <c r="G173" s="72">
        <v>22</v>
      </c>
      <c r="H173" s="6">
        <v>21.04</v>
      </c>
      <c r="I173" s="71">
        <v>31.226870000000002</v>
      </c>
    </row>
    <row r="174" spans="1:9" hidden="1" x14ac:dyDescent="0.25">
      <c r="A174" s="5" t="s">
        <v>156</v>
      </c>
      <c r="B174" s="13">
        <v>28965.182000000001</v>
      </c>
      <c r="C174" s="72">
        <v>14</v>
      </c>
      <c r="D174" s="72" t="s">
        <v>28</v>
      </c>
      <c r="E174" s="12">
        <v>12.7</v>
      </c>
      <c r="F174" s="12">
        <v>9</v>
      </c>
      <c r="G174" s="72">
        <v>15.3</v>
      </c>
      <c r="H174" s="6">
        <v>13.56</v>
      </c>
      <c r="I174" s="71">
        <v>43.87865</v>
      </c>
    </row>
    <row r="175" spans="1:9" hidden="1" x14ac:dyDescent="0.25">
      <c r="A175" s="5" t="s">
        <v>165</v>
      </c>
      <c r="B175" s="13">
        <v>29205.726999999999</v>
      </c>
      <c r="C175" s="72">
        <v>15</v>
      </c>
      <c r="D175" s="72" t="s">
        <v>28</v>
      </c>
      <c r="E175" s="12">
        <v>11.8</v>
      </c>
      <c r="F175" s="12">
        <v>8</v>
      </c>
      <c r="G175" s="72">
        <v>15</v>
      </c>
      <c r="H175" s="6">
        <v>10.14</v>
      </c>
      <c r="I175" s="71">
        <v>20.217949999999998</v>
      </c>
    </row>
    <row r="176" spans="1:9" hidden="1" x14ac:dyDescent="0.25">
      <c r="A176" s="5" t="s">
        <v>171</v>
      </c>
      <c r="B176" s="13">
        <v>29770.273000000001</v>
      </c>
      <c r="C176" s="72">
        <v>16</v>
      </c>
      <c r="D176" s="72" t="s">
        <v>28</v>
      </c>
      <c r="E176" s="12">
        <v>7.8</v>
      </c>
      <c r="F176" s="12">
        <v>7</v>
      </c>
      <c r="G176" s="72">
        <v>17.8</v>
      </c>
      <c r="H176" s="6">
        <v>17.2</v>
      </c>
      <c r="I176" s="71">
        <v>39.046779999999998</v>
      </c>
    </row>
    <row r="177" spans="1:9" hidden="1" x14ac:dyDescent="0.25">
      <c r="A177" s="5" t="s">
        <v>170</v>
      </c>
      <c r="B177" s="13">
        <v>30100</v>
      </c>
      <c r="C177" s="72">
        <v>21</v>
      </c>
      <c r="D177" s="72" t="s">
        <v>28</v>
      </c>
      <c r="E177" s="12">
        <v>21</v>
      </c>
      <c r="F177" s="12" t="s">
        <v>28</v>
      </c>
      <c r="G177" s="72" t="s">
        <v>28</v>
      </c>
      <c r="H177" s="6">
        <v>26.6</v>
      </c>
      <c r="I177" s="71" t="s">
        <v>28</v>
      </c>
    </row>
    <row r="178" spans="1:9" hidden="1" x14ac:dyDescent="0.25">
      <c r="A178" s="5" t="s">
        <v>179</v>
      </c>
      <c r="B178" s="13">
        <v>30288.091</v>
      </c>
      <c r="C178" s="72">
        <v>11</v>
      </c>
      <c r="D178" s="72" t="s">
        <v>28</v>
      </c>
      <c r="E178" s="12">
        <v>13.9</v>
      </c>
      <c r="F178" s="12" t="s">
        <v>28</v>
      </c>
      <c r="G178" s="72" t="s">
        <v>28</v>
      </c>
      <c r="H178" s="6" t="s">
        <v>28</v>
      </c>
      <c r="I178" s="71">
        <v>73.613810000000001</v>
      </c>
    </row>
    <row r="179" spans="1:9" hidden="1" x14ac:dyDescent="0.25">
      <c r="A179" s="5" t="s">
        <v>164</v>
      </c>
      <c r="B179" s="13">
        <v>30372.909</v>
      </c>
      <c r="C179" s="72">
        <v>14</v>
      </c>
      <c r="D179" s="72" t="s">
        <v>28</v>
      </c>
      <c r="E179" s="12">
        <v>11.3</v>
      </c>
      <c r="F179" s="12">
        <v>9</v>
      </c>
      <c r="G179" s="72">
        <v>13.5</v>
      </c>
      <c r="H179" s="6">
        <v>12.36</v>
      </c>
      <c r="I179" s="71">
        <v>60.20026</v>
      </c>
    </row>
    <row r="180" spans="1:9" hidden="1" x14ac:dyDescent="0.25">
      <c r="A180" s="5" t="s">
        <v>167</v>
      </c>
      <c r="B180" s="13">
        <v>30675.091</v>
      </c>
      <c r="C180" s="72">
        <v>15</v>
      </c>
      <c r="D180" s="72">
        <v>3.9310350000000001</v>
      </c>
      <c r="E180" s="12">
        <v>16.600000000000001</v>
      </c>
      <c r="F180" s="12">
        <v>18</v>
      </c>
      <c r="G180" s="72">
        <v>20.7</v>
      </c>
      <c r="H180" s="6">
        <v>15.16</v>
      </c>
      <c r="I180" s="71">
        <v>38.424469999999999</v>
      </c>
    </row>
    <row r="181" spans="1:9" hidden="1" x14ac:dyDescent="0.25">
      <c r="A181" s="5" t="s">
        <v>172</v>
      </c>
      <c r="B181" s="13">
        <v>32033</v>
      </c>
      <c r="C181" s="72">
        <v>11</v>
      </c>
      <c r="D181" s="72" t="s">
        <v>28</v>
      </c>
      <c r="E181" s="12">
        <v>14</v>
      </c>
      <c r="F181" s="12" t="s">
        <v>28</v>
      </c>
      <c r="G181" s="72">
        <v>10.199999999999999</v>
      </c>
      <c r="H181" s="6">
        <v>8.98</v>
      </c>
      <c r="I181" s="71">
        <v>18.124739999999999</v>
      </c>
    </row>
    <row r="182" spans="1:9" hidden="1" x14ac:dyDescent="0.25">
      <c r="A182" s="5" t="s">
        <v>225</v>
      </c>
      <c r="B182" s="13">
        <v>34100</v>
      </c>
      <c r="C182" s="72" t="s">
        <v>28</v>
      </c>
      <c r="D182" s="72" t="s">
        <v>28</v>
      </c>
      <c r="E182" s="12">
        <v>11.1</v>
      </c>
      <c r="F182" s="12" t="s">
        <v>28</v>
      </c>
      <c r="G182" s="72" t="s">
        <v>28</v>
      </c>
      <c r="H182" s="6" t="s">
        <v>28</v>
      </c>
      <c r="I182" s="71" t="s">
        <v>28</v>
      </c>
    </row>
    <row r="183" spans="1:9" hidden="1" x14ac:dyDescent="0.25">
      <c r="A183" s="5" t="s">
        <v>222</v>
      </c>
      <c r="B183" s="13">
        <v>35000</v>
      </c>
      <c r="C183" s="72" t="s">
        <v>28</v>
      </c>
      <c r="D183" s="72" t="s">
        <v>28</v>
      </c>
      <c r="E183" s="12">
        <v>14.6</v>
      </c>
      <c r="F183" s="12" t="s">
        <v>28</v>
      </c>
      <c r="G183" s="72" t="s">
        <v>28</v>
      </c>
      <c r="H183" s="6" t="s">
        <v>28</v>
      </c>
      <c r="I183" s="71" t="s">
        <v>28</v>
      </c>
    </row>
    <row r="184" spans="1:9" hidden="1" x14ac:dyDescent="0.25">
      <c r="A184" s="5" t="s">
        <v>175</v>
      </c>
      <c r="B184" s="13">
        <v>35727.817999999999</v>
      </c>
      <c r="C184" s="72">
        <v>13</v>
      </c>
      <c r="D184" s="72" t="s">
        <v>28</v>
      </c>
      <c r="E184" s="12">
        <v>7.1</v>
      </c>
      <c r="F184" s="12">
        <v>9</v>
      </c>
      <c r="G184" s="72" t="s">
        <v>28</v>
      </c>
      <c r="H184" s="6">
        <v>18.18</v>
      </c>
      <c r="I184" s="71">
        <v>62.616520000000001</v>
      </c>
    </row>
    <row r="185" spans="1:9" hidden="1" x14ac:dyDescent="0.25">
      <c r="A185" s="5" t="s">
        <v>173</v>
      </c>
      <c r="B185" s="13">
        <v>35729.455000000002</v>
      </c>
      <c r="C185" s="72">
        <v>18</v>
      </c>
      <c r="D185" s="72" t="s">
        <v>28</v>
      </c>
      <c r="E185" s="12">
        <v>7.4</v>
      </c>
      <c r="F185" s="12">
        <v>7</v>
      </c>
      <c r="G185" s="72">
        <v>10.5</v>
      </c>
      <c r="H185" s="6">
        <v>8.3800000000000008</v>
      </c>
      <c r="I185" s="71">
        <v>17.182490000000001</v>
      </c>
    </row>
    <row r="186" spans="1:9" hidden="1" x14ac:dyDescent="0.25">
      <c r="A186" s="5" t="s">
        <v>180</v>
      </c>
      <c r="B186" s="13">
        <v>52335.091</v>
      </c>
      <c r="C186" s="72">
        <v>13</v>
      </c>
      <c r="D186" s="72" t="s">
        <v>28</v>
      </c>
      <c r="E186" s="12">
        <v>6.8</v>
      </c>
      <c r="F186" s="12" t="s">
        <v>28</v>
      </c>
      <c r="G186" s="72" t="s">
        <v>28</v>
      </c>
      <c r="H186" s="6" t="s">
        <v>28</v>
      </c>
      <c r="I186" s="71">
        <v>43.529899999999998</v>
      </c>
    </row>
    <row r="187" spans="1:9" hidden="1" x14ac:dyDescent="0.25">
      <c r="A187" s="5" t="s">
        <v>223</v>
      </c>
      <c r="B187" s="13">
        <v>80900</v>
      </c>
      <c r="C187" s="72">
        <v>14</v>
      </c>
      <c r="D187" s="72" t="s">
        <v>28</v>
      </c>
      <c r="E187" s="12">
        <v>1.1000000000000001</v>
      </c>
      <c r="F187" s="12">
        <v>2</v>
      </c>
      <c r="G187" s="72" t="s">
        <v>28</v>
      </c>
      <c r="H187" s="6" t="s">
        <v>28</v>
      </c>
      <c r="I187" s="71" t="s">
        <v>28</v>
      </c>
    </row>
    <row r="188" spans="1:9" hidden="1" x14ac:dyDescent="0.25">
      <c r="C188" s="50"/>
      <c r="D188" s="50"/>
      <c r="E188" s="50"/>
      <c r="G188" s="50"/>
      <c r="I188" s="50"/>
    </row>
    <row r="189" spans="1:9" x14ac:dyDescent="0.25">
      <c r="A189" s="175" t="s">
        <v>518</v>
      </c>
      <c r="B189" s="175"/>
      <c r="C189" s="175"/>
      <c r="D189" s="175"/>
      <c r="E189" s="175"/>
      <c r="F189" s="175"/>
      <c r="G189" s="175"/>
      <c r="H189" s="175"/>
      <c r="I189" s="175"/>
    </row>
    <row r="190" spans="1:9" x14ac:dyDescent="0.25">
      <c r="A190" s="176" t="s">
        <v>519</v>
      </c>
      <c r="B190" s="176"/>
      <c r="C190" s="176"/>
      <c r="D190" s="176"/>
      <c r="E190" s="176"/>
      <c r="F190" s="176"/>
      <c r="G190" s="176"/>
      <c r="H190" s="176"/>
      <c r="I190" s="176"/>
    </row>
    <row r="191" spans="1:9" x14ac:dyDescent="0.25">
      <c r="A191" s="73"/>
      <c r="B191" s="73"/>
      <c r="C191" s="73"/>
      <c r="D191" s="73"/>
      <c r="E191" s="73"/>
      <c r="F191" s="73"/>
      <c r="G191" s="73"/>
      <c r="H191" s="73"/>
      <c r="I191" s="73"/>
    </row>
    <row r="192" spans="1:9" x14ac:dyDescent="0.25">
      <c r="A192" s="18"/>
      <c r="B192" s="34"/>
      <c r="C192" s="178" t="s">
        <v>48</v>
      </c>
      <c r="D192" s="178"/>
      <c r="E192" s="178"/>
      <c r="F192" s="178"/>
      <c r="G192" s="178"/>
      <c r="H192" s="46"/>
    </row>
    <row r="193" spans="1:10" ht="16.5" customHeight="1" x14ac:dyDescent="0.25">
      <c r="A193" s="173" t="s">
        <v>512</v>
      </c>
      <c r="B193" s="181" t="s">
        <v>249</v>
      </c>
      <c r="C193" s="60" t="s">
        <v>182</v>
      </c>
      <c r="D193" s="33" t="s">
        <v>203</v>
      </c>
      <c r="E193" s="179" t="s">
        <v>181</v>
      </c>
      <c r="F193" s="182" t="s">
        <v>253</v>
      </c>
      <c r="G193" s="60" t="s">
        <v>182</v>
      </c>
      <c r="H193" s="60" t="s">
        <v>182</v>
      </c>
      <c r="I193" s="45" t="s">
        <v>248</v>
      </c>
    </row>
    <row r="194" spans="1:10" s="2" customFormat="1" ht="13.5" customHeight="1" x14ac:dyDescent="0.25">
      <c r="A194" s="174"/>
      <c r="B194" s="180"/>
      <c r="C194" s="61" t="s">
        <v>183</v>
      </c>
      <c r="D194" s="59" t="s">
        <v>205</v>
      </c>
      <c r="E194" s="180"/>
      <c r="F194" s="183"/>
      <c r="G194" s="61" t="s">
        <v>206</v>
      </c>
      <c r="H194" s="52" t="s">
        <v>204</v>
      </c>
      <c r="I194" s="59" t="s">
        <v>247</v>
      </c>
    </row>
    <row r="195" spans="1:10" x14ac:dyDescent="0.25">
      <c r="A195" s="21" t="s">
        <v>513</v>
      </c>
      <c r="B195" s="38">
        <v>428.51256999999998</v>
      </c>
      <c r="C195" s="49">
        <v>35.384619999999998</v>
      </c>
      <c r="D195" s="49">
        <v>28.963570000000001</v>
      </c>
      <c r="E195" s="28">
        <v>46.445450000000001</v>
      </c>
      <c r="F195" s="28">
        <v>57.318199999999997</v>
      </c>
      <c r="G195" s="49">
        <v>38.933329999999998</v>
      </c>
      <c r="H195" s="49">
        <v>42.277500000000003</v>
      </c>
      <c r="I195" s="49">
        <v>3.1543939999999999</v>
      </c>
    </row>
    <row r="196" spans="1:10" x14ac:dyDescent="0.25">
      <c r="A196" s="22" t="s">
        <v>514</v>
      </c>
      <c r="B196" s="26">
        <v>1362.4331</v>
      </c>
      <c r="C196" s="49">
        <v>33.655169999999998</v>
      </c>
      <c r="D196" s="49">
        <v>23.28847</v>
      </c>
      <c r="E196" s="28">
        <v>35.748280000000001</v>
      </c>
      <c r="F196" s="28">
        <v>37.1111</v>
      </c>
      <c r="G196" s="49">
        <v>42.737499999999997</v>
      </c>
      <c r="H196" s="49">
        <v>39.789470000000001</v>
      </c>
      <c r="I196" s="49">
        <v>8.233587</v>
      </c>
    </row>
    <row r="197" spans="1:10" x14ac:dyDescent="0.25">
      <c r="A197" s="22" t="s">
        <v>515</v>
      </c>
      <c r="B197" s="26">
        <v>4001.6082000000001</v>
      </c>
      <c r="C197" s="49">
        <v>27.575759999999999</v>
      </c>
      <c r="D197" s="49">
        <v>19.661480000000001</v>
      </c>
      <c r="E197" s="28">
        <v>23.053850000000001</v>
      </c>
      <c r="F197" s="28">
        <v>24.6296</v>
      </c>
      <c r="G197" s="49">
        <v>31.278569999999998</v>
      </c>
      <c r="H197" s="49">
        <v>34.147779999999997</v>
      </c>
      <c r="I197" s="49">
        <v>28.66666</v>
      </c>
    </row>
    <row r="198" spans="1:10" x14ac:dyDescent="0.25">
      <c r="A198" s="24" t="s">
        <v>516</v>
      </c>
      <c r="B198" s="43">
        <v>20347.839</v>
      </c>
      <c r="C198" s="44">
        <v>17.27027</v>
      </c>
      <c r="D198" s="44">
        <v>8.1602949999999996</v>
      </c>
      <c r="E198" s="48">
        <v>13.33488</v>
      </c>
      <c r="F198" s="48">
        <v>12.482799999999999</v>
      </c>
      <c r="G198" s="44">
        <v>17.573810000000002</v>
      </c>
      <c r="H198" s="44">
        <v>18.336770000000001</v>
      </c>
      <c r="I198" s="44">
        <v>41.847149999999999</v>
      </c>
    </row>
    <row r="199" spans="1:10" x14ac:dyDescent="0.25">
      <c r="A199" s="21" t="s">
        <v>235</v>
      </c>
      <c r="B199" s="38">
        <f>AVERAGE(B3:B187)</f>
        <v>10015.283549675674</v>
      </c>
      <c r="C199" s="54">
        <f>AVERAGE(C3:C187)</f>
        <v>27.56</v>
      </c>
      <c r="D199" s="54">
        <f t="shared" ref="D199:I199" si="0">AVERAGE(D3:D187)</f>
        <v>22.498698599999997</v>
      </c>
      <c r="E199" s="54">
        <f t="shared" si="0"/>
        <v>26.548872180451141</v>
      </c>
      <c r="F199" s="54">
        <f t="shared" si="0"/>
        <v>30.791666666666668</v>
      </c>
      <c r="G199" s="54">
        <f t="shared" si="0"/>
        <v>29.044736842105259</v>
      </c>
      <c r="H199" s="54">
        <f t="shared" si="0"/>
        <v>34.488689655172422</v>
      </c>
      <c r="I199" s="54">
        <f t="shared" si="0"/>
        <v>24.6961504626506</v>
      </c>
      <c r="J199" s="55"/>
    </row>
    <row r="200" spans="1:10" ht="17.25" x14ac:dyDescent="0.25">
      <c r="A200" s="22" t="s">
        <v>517</v>
      </c>
      <c r="B200" s="62" t="s">
        <v>246</v>
      </c>
      <c r="C200" s="63" t="s">
        <v>240</v>
      </c>
      <c r="D200" s="63" t="s">
        <v>241</v>
      </c>
      <c r="E200" s="63" t="s">
        <v>242</v>
      </c>
      <c r="F200" s="63" t="s">
        <v>257</v>
      </c>
      <c r="G200" s="63" t="s">
        <v>243</v>
      </c>
      <c r="H200" s="63" t="s">
        <v>244</v>
      </c>
      <c r="I200" s="63" t="s">
        <v>245</v>
      </c>
      <c r="J200" s="55"/>
    </row>
    <row r="201" spans="1:10" x14ac:dyDescent="0.25">
      <c r="A201" s="24" t="s">
        <v>45</v>
      </c>
      <c r="B201" s="43">
        <f t="shared" ref="B201:I201" si="1">COUNT(B3:B187)</f>
        <v>185</v>
      </c>
      <c r="C201" s="43">
        <f t="shared" si="1"/>
        <v>125</v>
      </c>
      <c r="D201" s="43">
        <f t="shared" si="1"/>
        <v>95</v>
      </c>
      <c r="E201" s="43">
        <f t="shared" si="1"/>
        <v>133</v>
      </c>
      <c r="F201" s="43">
        <f t="shared" si="1"/>
        <v>96</v>
      </c>
      <c r="G201" s="43">
        <f t="shared" si="1"/>
        <v>57</v>
      </c>
      <c r="H201" s="43">
        <f t="shared" si="1"/>
        <v>145</v>
      </c>
      <c r="I201" s="43">
        <f t="shared" si="1"/>
        <v>83</v>
      </c>
    </row>
    <row r="202" spans="1:10" hidden="1" x14ac:dyDescent="0.25"/>
    <row r="203" spans="1:10" hidden="1" x14ac:dyDescent="0.25">
      <c r="C203" s="11"/>
      <c r="D203" s="11"/>
      <c r="E203" s="11"/>
      <c r="F203" s="11"/>
      <c r="G203" s="11"/>
      <c r="H203" s="11"/>
    </row>
    <row r="204" spans="1:10" hidden="1" x14ac:dyDescent="0.25">
      <c r="A204" t="s">
        <v>184</v>
      </c>
      <c r="C204" s="50"/>
      <c r="D204" s="50"/>
      <c r="E204" s="50"/>
      <c r="G204" s="50"/>
    </row>
    <row r="205" spans="1:10" hidden="1" x14ac:dyDescent="0.25">
      <c r="C205" s="50"/>
      <c r="D205" s="50"/>
      <c r="E205" s="50"/>
      <c r="G205" s="50"/>
    </row>
    <row r="206" spans="1:10" hidden="1" x14ac:dyDescent="0.25">
      <c r="C206" s="50"/>
      <c r="D206" s="50"/>
      <c r="E206" s="50"/>
      <c r="G206" s="50"/>
    </row>
    <row r="207" spans="1:10" hidden="1" x14ac:dyDescent="0.25">
      <c r="C207" s="50"/>
      <c r="D207" s="50"/>
      <c r="E207" s="50"/>
      <c r="G207" s="50"/>
    </row>
    <row r="208" spans="1:10" hidden="1" x14ac:dyDescent="0.25">
      <c r="C208" s="50"/>
      <c r="D208" s="50"/>
      <c r="E208" s="50"/>
      <c r="G208" s="50"/>
    </row>
    <row r="209" spans="1:9" hidden="1" x14ac:dyDescent="0.25">
      <c r="C209" s="50"/>
      <c r="D209" s="50"/>
      <c r="E209" s="50"/>
      <c r="G209" s="50"/>
    </row>
    <row r="210" spans="1:9" hidden="1" x14ac:dyDescent="0.25">
      <c r="A210" t="s">
        <v>202</v>
      </c>
      <c r="B210" s="35" t="s">
        <v>196</v>
      </c>
      <c r="C210" s="71" t="s">
        <v>199</v>
      </c>
      <c r="D210" s="71" t="s">
        <v>0</v>
      </c>
      <c r="E210" s="71" t="s">
        <v>200</v>
      </c>
      <c r="F210" s="71" t="s">
        <v>254</v>
      </c>
      <c r="G210" s="71" t="s">
        <v>198</v>
      </c>
      <c r="H210" t="s">
        <v>197</v>
      </c>
      <c r="I210" t="s">
        <v>201</v>
      </c>
    </row>
    <row r="211" spans="1:9" hidden="1" x14ac:dyDescent="0.25">
      <c r="A211">
        <v>1</v>
      </c>
      <c r="B211" s="35">
        <v>428.51256999999998</v>
      </c>
      <c r="C211" s="71">
        <v>35.384619999999998</v>
      </c>
      <c r="D211" s="71">
        <v>28.963570000000001</v>
      </c>
      <c r="E211" s="71">
        <v>46.445450000000001</v>
      </c>
      <c r="F211" s="71">
        <v>57.318199999999997</v>
      </c>
      <c r="G211" s="71">
        <v>38.933329999999998</v>
      </c>
      <c r="H211">
        <v>42.277500000000003</v>
      </c>
      <c r="I211">
        <v>3.1543939999999999</v>
      </c>
    </row>
    <row r="212" spans="1:9" hidden="1" x14ac:dyDescent="0.25">
      <c r="A212">
        <v>2</v>
      </c>
      <c r="B212" s="35">
        <v>1362.4331</v>
      </c>
      <c r="C212" s="71">
        <v>33.655169999999998</v>
      </c>
      <c r="D212" s="71">
        <v>23.28847</v>
      </c>
      <c r="E212" s="71">
        <v>35.748280000000001</v>
      </c>
      <c r="F212" s="71">
        <v>37.1111</v>
      </c>
      <c r="G212" s="71">
        <v>42.737499999999997</v>
      </c>
      <c r="H212">
        <v>39.789470000000001</v>
      </c>
      <c r="I212">
        <v>8.233587</v>
      </c>
    </row>
    <row r="213" spans="1:9" hidden="1" x14ac:dyDescent="0.25">
      <c r="A213">
        <v>3</v>
      </c>
      <c r="B213" s="35">
        <v>4001.6082000000001</v>
      </c>
      <c r="C213" s="71">
        <v>27.575759999999999</v>
      </c>
      <c r="D213" s="71">
        <v>19.661480000000001</v>
      </c>
      <c r="E213" s="71">
        <v>23.053850000000001</v>
      </c>
      <c r="F213" s="71">
        <v>24.6296</v>
      </c>
      <c r="G213" s="71">
        <v>31.278569999999998</v>
      </c>
      <c r="H213">
        <v>34.147779999999997</v>
      </c>
      <c r="I213">
        <v>28.66666</v>
      </c>
    </row>
    <row r="214" spans="1:9" hidden="1" x14ac:dyDescent="0.25">
      <c r="A214">
        <v>4</v>
      </c>
      <c r="B214" s="35">
        <v>20347.839</v>
      </c>
      <c r="C214" s="71">
        <v>17.27027</v>
      </c>
      <c r="D214" s="71">
        <v>8.1602949999999996</v>
      </c>
      <c r="E214" s="71">
        <v>13.33488</v>
      </c>
      <c r="F214" s="71">
        <v>12.482799999999999</v>
      </c>
      <c r="G214" s="71">
        <v>17.573810000000002</v>
      </c>
      <c r="H214">
        <v>18.336770000000001</v>
      </c>
      <c r="I214">
        <v>41.847149999999999</v>
      </c>
    </row>
    <row r="215" spans="1:9" x14ac:dyDescent="0.25">
      <c r="A215" s="18"/>
      <c r="B215" s="36"/>
      <c r="C215" s="101"/>
      <c r="D215" s="101"/>
      <c r="E215" s="101"/>
      <c r="F215" s="101"/>
      <c r="G215" s="101"/>
      <c r="H215" s="18"/>
      <c r="I215" s="18"/>
    </row>
    <row r="216" spans="1:9" x14ac:dyDescent="0.25">
      <c r="A216" s="109" t="s">
        <v>563</v>
      </c>
      <c r="B216" s="36"/>
      <c r="C216" s="146"/>
      <c r="D216" s="146"/>
      <c r="E216" s="146"/>
      <c r="F216" s="146"/>
      <c r="G216" s="146"/>
      <c r="H216" s="18"/>
      <c r="I216" s="18"/>
    </row>
    <row r="217" spans="1:9" x14ac:dyDescent="0.25">
      <c r="A217" s="109" t="s">
        <v>1037</v>
      </c>
      <c r="B217" s="36"/>
      <c r="C217" s="101"/>
      <c r="D217" s="101"/>
      <c r="E217" s="101"/>
      <c r="F217" s="101"/>
      <c r="G217" s="101"/>
      <c r="H217" s="18"/>
      <c r="I217" s="18"/>
    </row>
  </sheetData>
  <customSheetViews>
    <customSheetView guid="{BF4B7214-A780-4E29-8376-D0EF10A37853}" scale="85" showPageBreaks="1" fitToPage="1" printArea="1" hiddenRows="1" hiddenColumns="1" view="pageBreakPreview" topLeftCell="A189">
      <selection activeCell="A190" sqref="A190:I190"/>
      <pageMargins left="0.7" right="0.7" top="0.75" bottom="0.75" header="0.3" footer="0.3"/>
      <printOptions horizontalCentered="1"/>
      <pageSetup scale="83" orientation="landscape" r:id="rId1"/>
    </customSheetView>
  </customSheetViews>
  <mergeCells count="8">
    <mergeCell ref="A193:A194"/>
    <mergeCell ref="A189:I189"/>
    <mergeCell ref="A190:I190"/>
    <mergeCell ref="C1:G1"/>
    <mergeCell ref="C192:G192"/>
    <mergeCell ref="E193:E194"/>
    <mergeCell ref="B193:B194"/>
    <mergeCell ref="F193:F194"/>
  </mergeCells>
  <printOptions horizontalCentered="1"/>
  <pageMargins left="0.7" right="0.7" top="0.75" bottom="0.75" header="0.3" footer="0.3"/>
  <pageSetup scale="8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S54"/>
  <sheetViews>
    <sheetView view="pageBreakPreview" zoomScaleNormal="100" zoomScaleSheetLayoutView="100" workbookViewId="0">
      <selection activeCell="Y44" sqref="Y44"/>
    </sheetView>
  </sheetViews>
  <sheetFormatPr defaultRowHeight="15" x14ac:dyDescent="0.25"/>
  <cols>
    <col min="1" max="1" width="49.140625" style="18" customWidth="1"/>
    <col min="2" max="2" width="17.28515625" style="18" hidden="1" customWidth="1"/>
    <col min="3" max="3" width="14" style="18" hidden="1" customWidth="1"/>
    <col min="4" max="4" width="13.5703125" style="18" hidden="1" customWidth="1"/>
    <col min="5" max="9" width="9.140625" style="18" customWidth="1"/>
    <col min="10" max="10" width="12.7109375" style="65" customWidth="1"/>
    <col min="11" max="11" width="1.42578125" style="18" customWidth="1"/>
    <col min="12" max="12" width="13.28515625" style="18" hidden="1" customWidth="1"/>
    <col min="13" max="13" width="2.140625" style="18" hidden="1" customWidth="1"/>
    <col min="14" max="14" width="12.28515625" style="18" hidden="1" customWidth="1"/>
    <col min="15" max="15" width="1.42578125" style="18" hidden="1" customWidth="1"/>
    <col min="16" max="16" width="9.140625" style="18" hidden="1" customWidth="1"/>
    <col min="17" max="17" width="3.140625" style="18" hidden="1" customWidth="1"/>
  </cols>
  <sheetData>
    <row r="1" spans="1:45" x14ac:dyDescent="0.25">
      <c r="A1" s="175" t="s">
        <v>2091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45" hidden="1" x14ac:dyDescent="0.25">
      <c r="A2" s="94"/>
      <c r="B2" s="94"/>
      <c r="C2" s="94"/>
      <c r="D2" s="94"/>
      <c r="E2" s="94"/>
      <c r="F2" s="94"/>
      <c r="G2" s="94"/>
      <c r="H2" s="94"/>
      <c r="I2" s="94"/>
      <c r="J2" s="113"/>
      <c r="K2" s="94"/>
      <c r="L2" s="94"/>
      <c r="M2" s="94"/>
      <c r="N2" s="94"/>
      <c r="O2" s="94"/>
      <c r="P2" s="94"/>
    </row>
    <row r="3" spans="1:45" x14ac:dyDescent="0.2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22"/>
      <c r="R3" s="18"/>
      <c r="S3" s="18"/>
      <c r="T3" s="18"/>
    </row>
    <row r="4" spans="1:45" s="2" customFormat="1" ht="18" customHeight="1" x14ac:dyDescent="0.25">
      <c r="A4" s="21"/>
      <c r="B4" s="21"/>
      <c r="C4" s="110"/>
      <c r="D4" s="110"/>
      <c r="E4" s="186" t="s">
        <v>40</v>
      </c>
      <c r="F4" s="187" t="s">
        <v>37</v>
      </c>
      <c r="G4" s="187"/>
      <c r="H4" s="187"/>
      <c r="I4" s="187"/>
      <c r="J4" s="186" t="s">
        <v>194</v>
      </c>
      <c r="K4" s="186"/>
      <c r="L4" s="105"/>
      <c r="M4" s="105"/>
      <c r="N4" s="105"/>
      <c r="O4" s="105"/>
      <c r="P4" s="105"/>
      <c r="Q4" s="110"/>
      <c r="R4" s="47"/>
    </row>
    <row r="5" spans="1:45" ht="18" customHeight="1" x14ac:dyDescent="0.25">
      <c r="A5" s="51"/>
      <c r="B5" s="51" t="s">
        <v>29</v>
      </c>
      <c r="C5" s="103" t="s">
        <v>187</v>
      </c>
      <c r="D5" s="103" t="s">
        <v>47</v>
      </c>
      <c r="E5" s="185"/>
      <c r="F5" s="103" t="s">
        <v>188</v>
      </c>
      <c r="G5" s="111" t="s">
        <v>189</v>
      </c>
      <c r="H5" s="103" t="s">
        <v>190</v>
      </c>
      <c r="I5" s="103" t="s">
        <v>30</v>
      </c>
      <c r="J5" s="185"/>
      <c r="K5" s="185"/>
      <c r="L5" s="185" t="s">
        <v>191</v>
      </c>
      <c r="M5" s="185"/>
      <c r="N5" s="185" t="s">
        <v>193</v>
      </c>
      <c r="O5" s="185"/>
      <c r="P5" s="103" t="s">
        <v>41</v>
      </c>
      <c r="Q5" s="112"/>
    </row>
    <row r="6" spans="1:45" ht="17.25" x14ac:dyDescent="0.25">
      <c r="A6" s="83" t="s">
        <v>495</v>
      </c>
      <c r="B6" s="21"/>
      <c r="C6" s="84"/>
      <c r="D6" s="84"/>
      <c r="E6" s="84"/>
      <c r="F6" s="84"/>
      <c r="G6" s="84"/>
      <c r="H6" s="84"/>
      <c r="I6" s="84"/>
      <c r="J6" s="86"/>
      <c r="K6" s="85"/>
      <c r="L6" s="84"/>
      <c r="M6" s="85"/>
      <c r="N6" s="86"/>
      <c r="O6" s="85"/>
      <c r="P6" s="84"/>
      <c r="Q6" s="89"/>
      <c r="R6" s="74"/>
      <c r="S6" s="74"/>
      <c r="T6" s="74"/>
      <c r="U6" s="74"/>
      <c r="V6" s="74"/>
      <c r="W6" s="74"/>
      <c r="X6" s="74"/>
      <c r="Y6" s="74"/>
    </row>
    <row r="7" spans="1:45" ht="17.25" x14ac:dyDescent="0.25">
      <c r="A7" s="25" t="s">
        <v>499</v>
      </c>
      <c r="B7" s="5" t="s">
        <v>490</v>
      </c>
      <c r="C7" s="29">
        <v>0.43833732604980469</v>
      </c>
      <c r="D7" s="29" t="s">
        <v>31</v>
      </c>
      <c r="E7" s="29">
        <v>0.43833732604980469</v>
      </c>
      <c r="F7" s="29">
        <v>0.20607545971870422</v>
      </c>
      <c r="G7" s="29">
        <v>0.17771126329898834</v>
      </c>
      <c r="H7" s="29">
        <v>0.13567635416984558</v>
      </c>
      <c r="I7" s="29">
        <v>0.18545517325401306</v>
      </c>
      <c r="J7" s="64">
        <v>-0.25288215279579163</v>
      </c>
      <c r="K7" s="99" t="s">
        <v>32</v>
      </c>
      <c r="L7" s="29" t="s">
        <v>31</v>
      </c>
      <c r="M7" s="29" t="s">
        <v>31</v>
      </c>
      <c r="N7" s="64">
        <v>-0.23226186633110046</v>
      </c>
      <c r="O7" s="99" t="s">
        <v>32</v>
      </c>
      <c r="P7" s="64">
        <v>-7.0399105548858643E-2</v>
      </c>
      <c r="Q7" s="87"/>
      <c r="R7" s="74"/>
      <c r="S7" s="74"/>
      <c r="T7" s="74"/>
      <c r="U7" s="74"/>
      <c r="V7" s="74"/>
      <c r="W7" s="74"/>
      <c r="X7" s="74"/>
      <c r="Y7" s="74"/>
    </row>
    <row r="8" spans="1:45" ht="17.25" x14ac:dyDescent="0.25">
      <c r="A8" s="25" t="s">
        <v>503</v>
      </c>
      <c r="B8" s="22" t="s">
        <v>491</v>
      </c>
      <c r="C8" s="29">
        <v>0.11397167295217514</v>
      </c>
      <c r="D8" s="29" t="s">
        <v>31</v>
      </c>
      <c r="E8" s="29">
        <v>0.11397167295217514</v>
      </c>
      <c r="F8" s="29">
        <v>9.4690680503845215E-2</v>
      </c>
      <c r="G8" s="29">
        <v>9.0565800666809082E-2</v>
      </c>
      <c r="H8" s="29">
        <v>0.11727560311555862</v>
      </c>
      <c r="I8" s="29">
        <v>9.7447171807289124E-2</v>
      </c>
      <c r="J8" s="64">
        <v>-1.6524501144886017E-2</v>
      </c>
      <c r="K8" s="29" t="s">
        <v>31</v>
      </c>
      <c r="L8" s="29" t="s">
        <v>31</v>
      </c>
      <c r="M8" s="29" t="s">
        <v>31</v>
      </c>
      <c r="N8" s="64">
        <v>-1.9280992448329926E-2</v>
      </c>
      <c r="O8" s="29" t="s">
        <v>31</v>
      </c>
      <c r="P8" s="64">
        <v>2.2584922611713409E-2</v>
      </c>
      <c r="Q8" s="87"/>
      <c r="R8" s="74"/>
      <c r="S8" s="74"/>
      <c r="T8" s="74"/>
      <c r="U8" s="74"/>
      <c r="V8" s="74"/>
      <c r="W8" s="74"/>
      <c r="X8" s="74"/>
      <c r="Y8" s="7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7.25" x14ac:dyDescent="0.25">
      <c r="A9" s="25" t="s">
        <v>511</v>
      </c>
      <c r="B9" s="22" t="s">
        <v>482</v>
      </c>
      <c r="C9" s="29">
        <v>0.11249182373285294</v>
      </c>
      <c r="D9" s="29" t="s">
        <v>31</v>
      </c>
      <c r="E9" s="29">
        <v>0.11249182373285294</v>
      </c>
      <c r="F9" s="29">
        <v>5.6200888007879257E-2</v>
      </c>
      <c r="G9" s="29">
        <v>4.1505690664052963E-2</v>
      </c>
      <c r="H9" s="29">
        <v>4.0729086846113205E-2</v>
      </c>
      <c r="I9" s="29">
        <v>4.9927707761526108E-2</v>
      </c>
      <c r="J9" s="64">
        <v>-6.2564115971326828E-2</v>
      </c>
      <c r="K9" s="99" t="s">
        <v>236</v>
      </c>
      <c r="L9" s="29" t="s">
        <v>31</v>
      </c>
      <c r="M9" s="29" t="s">
        <v>31</v>
      </c>
      <c r="N9" s="64">
        <v>-5.6290935724973679E-2</v>
      </c>
      <c r="O9" s="99" t="s">
        <v>237</v>
      </c>
      <c r="P9" s="64">
        <v>-1.5471801161766052E-2</v>
      </c>
      <c r="Q9" s="22"/>
      <c r="R9" s="74"/>
      <c r="S9" s="74"/>
      <c r="T9" s="74"/>
      <c r="U9" s="74"/>
      <c r="V9" s="74"/>
      <c r="W9" s="74"/>
      <c r="X9" s="74"/>
      <c r="Y9" s="74"/>
    </row>
    <row r="10" spans="1:45" ht="17.25" x14ac:dyDescent="0.25">
      <c r="A10" s="25" t="s">
        <v>185</v>
      </c>
      <c r="B10" s="22" t="s">
        <v>484</v>
      </c>
      <c r="C10" s="29">
        <v>7.3784254491329193E-2</v>
      </c>
      <c r="D10" s="29" t="s">
        <v>31</v>
      </c>
      <c r="E10" s="29">
        <v>7.3784254491329193E-2</v>
      </c>
      <c r="F10" s="29">
        <v>7.3236800730228424E-2</v>
      </c>
      <c r="G10" s="29">
        <v>8.1947386264801025E-2</v>
      </c>
      <c r="H10" s="29">
        <v>6.02717325091362E-2</v>
      </c>
      <c r="I10" s="29">
        <v>7.390160858631134E-2</v>
      </c>
      <c r="J10" s="64">
        <v>1.1735409498214722E-4</v>
      </c>
      <c r="K10" s="29" t="s">
        <v>31</v>
      </c>
      <c r="L10" s="29" t="s">
        <v>31</v>
      </c>
      <c r="M10" s="29" t="s">
        <v>31</v>
      </c>
      <c r="N10" s="64">
        <v>-5.4745376110076904E-4</v>
      </c>
      <c r="O10" s="29" t="s">
        <v>31</v>
      </c>
      <c r="P10" s="64">
        <v>-1.2965068221092224E-2</v>
      </c>
      <c r="Q10" s="87"/>
      <c r="R10" s="74"/>
      <c r="S10" s="74"/>
      <c r="T10" s="74"/>
      <c r="U10" s="74"/>
      <c r="V10" s="74"/>
      <c r="W10" s="74"/>
      <c r="X10" s="74"/>
      <c r="Y10" s="74"/>
    </row>
    <row r="11" spans="1:45" ht="17.25" x14ac:dyDescent="0.25">
      <c r="A11" s="25" t="s">
        <v>498</v>
      </c>
      <c r="B11" s="22" t="s">
        <v>480</v>
      </c>
      <c r="C11" s="29">
        <v>7.2857625782489777E-2</v>
      </c>
      <c r="D11" s="29" t="s">
        <v>31</v>
      </c>
      <c r="E11" s="29">
        <v>7.2857625782489777E-2</v>
      </c>
      <c r="F11" s="29">
        <v>0.10021304339170456</v>
      </c>
      <c r="G11" s="29">
        <v>9.7862035036087036E-2</v>
      </c>
      <c r="H11" s="29">
        <v>7.4014604091644287E-2</v>
      </c>
      <c r="I11" s="29">
        <v>9.8191559314727783E-2</v>
      </c>
      <c r="J11" s="64">
        <v>2.5333933532238007E-2</v>
      </c>
      <c r="K11" s="29" t="s">
        <v>31</v>
      </c>
      <c r="L11" s="64"/>
      <c r="M11" s="29" t="s">
        <v>31</v>
      </c>
      <c r="N11" s="64">
        <v>2.7355417609214783E-2</v>
      </c>
      <c r="O11" s="99"/>
      <c r="P11" s="64">
        <v>-2.6198439300060272E-2</v>
      </c>
      <c r="Q11" s="99" t="s">
        <v>237</v>
      </c>
      <c r="R11" s="74"/>
      <c r="S11" s="74"/>
      <c r="T11" s="74"/>
      <c r="U11" s="74"/>
      <c r="V11" s="74"/>
      <c r="W11" s="74"/>
      <c r="X11" s="74"/>
      <c r="Y11" s="74"/>
    </row>
    <row r="12" spans="1:45" ht="17.25" x14ac:dyDescent="0.25">
      <c r="A12" s="25" t="s">
        <v>509</v>
      </c>
      <c r="B12" s="22" t="s">
        <v>489</v>
      </c>
      <c r="C12" s="29">
        <v>6.2805138528347015E-2</v>
      </c>
      <c r="D12" s="29" t="s">
        <v>31</v>
      </c>
      <c r="E12" s="29">
        <v>6.2805138528347015E-2</v>
      </c>
      <c r="F12" s="29">
        <v>2.2935163229703903E-2</v>
      </c>
      <c r="G12" s="29">
        <v>2.7233736589550972E-2</v>
      </c>
      <c r="H12" s="29">
        <v>1.732451468706131E-2</v>
      </c>
      <c r="I12" s="29">
        <v>2.3715963587164879E-2</v>
      </c>
      <c r="J12" s="64">
        <v>-3.9089174941182137E-2</v>
      </c>
      <c r="K12" s="99" t="s">
        <v>236</v>
      </c>
      <c r="L12" s="29" t="s">
        <v>31</v>
      </c>
      <c r="M12" s="29" t="s">
        <v>31</v>
      </c>
      <c r="N12" s="64">
        <v>-3.9869975298643112E-2</v>
      </c>
      <c r="O12" s="99" t="s">
        <v>236</v>
      </c>
      <c r="P12" s="64">
        <v>-5.6106485426425934E-3</v>
      </c>
      <c r="Q12" s="87"/>
      <c r="R12" s="74"/>
      <c r="S12" s="74"/>
      <c r="T12" s="74"/>
      <c r="U12" s="74"/>
      <c r="V12" s="74"/>
      <c r="W12" s="74"/>
      <c r="X12" s="74"/>
      <c r="Y12" s="74"/>
    </row>
    <row r="13" spans="1:45" ht="17.25" x14ac:dyDescent="0.25">
      <c r="A13" s="25" t="s">
        <v>506</v>
      </c>
      <c r="B13" s="22" t="s">
        <v>493</v>
      </c>
      <c r="C13" s="29">
        <v>3.3834882080554962E-2</v>
      </c>
      <c r="D13" s="29" t="s">
        <v>31</v>
      </c>
      <c r="E13" s="29">
        <v>3.3834882080554962E-2</v>
      </c>
      <c r="F13" s="29">
        <v>5.2241262048482895E-2</v>
      </c>
      <c r="G13" s="29">
        <v>4.963967576622963E-2</v>
      </c>
      <c r="H13" s="29">
        <v>7.1827888488769531E-2</v>
      </c>
      <c r="I13" s="29">
        <v>5.3725317120552063E-2</v>
      </c>
      <c r="J13" s="64">
        <v>1.9890435039997101E-2</v>
      </c>
      <c r="K13" s="29" t="s">
        <v>31</v>
      </c>
      <c r="L13" s="29" t="s">
        <v>31</v>
      </c>
      <c r="M13" s="29" t="s">
        <v>31</v>
      </c>
      <c r="N13" s="64">
        <v>1.8406379967927933E-2</v>
      </c>
      <c r="O13" s="29" t="s">
        <v>31</v>
      </c>
      <c r="P13" s="64">
        <v>1.9586626440286636E-2</v>
      </c>
      <c r="Q13" s="87"/>
      <c r="R13" s="74"/>
      <c r="S13" s="74"/>
      <c r="T13" s="74"/>
      <c r="U13" s="74"/>
      <c r="V13" s="74"/>
      <c r="W13" s="74"/>
      <c r="X13" s="74"/>
      <c r="Y13" s="74"/>
    </row>
    <row r="14" spans="1:45" ht="17.25" x14ac:dyDescent="0.25">
      <c r="A14" s="25" t="s">
        <v>508</v>
      </c>
      <c r="B14" s="22" t="s">
        <v>186</v>
      </c>
      <c r="C14" s="29">
        <v>3.2898560166358948E-2</v>
      </c>
      <c r="D14" s="29" t="s">
        <v>31</v>
      </c>
      <c r="E14" s="29">
        <v>3.2898560166358948E-2</v>
      </c>
      <c r="F14" s="29">
        <v>4.9751671031117439E-3</v>
      </c>
      <c r="G14" s="29">
        <v>5.3671710193157196E-3</v>
      </c>
      <c r="H14" s="29">
        <v>1.9159378483891487E-2</v>
      </c>
      <c r="I14" s="29">
        <v>7.6399846002459526E-3</v>
      </c>
      <c r="J14" s="64">
        <v>-2.5258575566112995E-2</v>
      </c>
      <c r="K14" s="99" t="s">
        <v>32</v>
      </c>
      <c r="L14" s="29" t="s">
        <v>31</v>
      </c>
      <c r="M14" s="29" t="s">
        <v>31</v>
      </c>
      <c r="N14" s="64">
        <v>-2.7923393063247204E-2</v>
      </c>
      <c r="O14" s="99" t="s">
        <v>32</v>
      </c>
      <c r="P14" s="64">
        <v>1.4184211380779743E-2</v>
      </c>
      <c r="Q14" s="87"/>
      <c r="R14" s="74"/>
      <c r="S14" s="74"/>
      <c r="T14" s="74"/>
      <c r="U14" s="74"/>
      <c r="V14" s="74"/>
      <c r="W14" s="74"/>
      <c r="X14" s="74"/>
      <c r="Y14" s="74"/>
    </row>
    <row r="15" spans="1:45" ht="17.25" x14ac:dyDescent="0.25">
      <c r="A15" s="25" t="s">
        <v>504</v>
      </c>
      <c r="B15" s="22" t="s">
        <v>485</v>
      </c>
      <c r="C15" s="29">
        <v>2.079271525144577E-2</v>
      </c>
      <c r="D15" s="29" t="s">
        <v>31</v>
      </c>
      <c r="E15" s="29">
        <v>2.079271525144577E-2</v>
      </c>
      <c r="F15" s="29">
        <v>3.2069448381662369E-2</v>
      </c>
      <c r="G15" s="29">
        <v>4.4275447726249695E-2</v>
      </c>
      <c r="H15" s="29">
        <v>4.9821231514215469E-2</v>
      </c>
      <c r="I15" s="29">
        <v>3.8374096155166626E-2</v>
      </c>
      <c r="J15" s="64">
        <v>1.7581380903720856E-2</v>
      </c>
      <c r="K15" s="29" t="s">
        <v>31</v>
      </c>
      <c r="L15" s="29" t="s">
        <v>31</v>
      </c>
      <c r="M15" s="29" t="s">
        <v>31</v>
      </c>
      <c r="N15" s="64">
        <v>1.1276733130216599E-2</v>
      </c>
      <c r="O15" s="29" t="s">
        <v>31</v>
      </c>
      <c r="P15" s="64">
        <v>1.7751783132553101E-2</v>
      </c>
      <c r="Q15" s="89"/>
      <c r="R15" s="74"/>
      <c r="S15" s="74"/>
      <c r="T15" s="74"/>
      <c r="U15" s="74"/>
      <c r="V15" s="74"/>
      <c r="W15" s="74"/>
      <c r="X15" s="74"/>
      <c r="Y15" s="74"/>
    </row>
    <row r="16" spans="1:45" ht="17.25" x14ac:dyDescent="0.25">
      <c r="A16" s="25" t="s">
        <v>502</v>
      </c>
      <c r="B16" s="22" t="s">
        <v>488</v>
      </c>
      <c r="C16" s="29">
        <v>1.8322205170989037E-2</v>
      </c>
      <c r="D16" s="29" t="s">
        <v>31</v>
      </c>
      <c r="E16" s="29">
        <v>1.8322205170989037E-2</v>
      </c>
      <c r="F16" s="29">
        <v>4.6172227710485458E-2</v>
      </c>
      <c r="G16" s="29">
        <v>5.9705324470996857E-2</v>
      </c>
      <c r="H16" s="29">
        <v>0.10389397293329239</v>
      </c>
      <c r="I16" s="29">
        <v>5.9911694377660751E-2</v>
      </c>
      <c r="J16" s="64">
        <v>4.1589489206671715E-2</v>
      </c>
      <c r="K16" s="99" t="s">
        <v>237</v>
      </c>
      <c r="L16" s="29" t="s">
        <v>31</v>
      </c>
      <c r="M16" s="29" t="s">
        <v>31</v>
      </c>
      <c r="N16" s="64">
        <v>2.7850022539496422E-2</v>
      </c>
      <c r="O16" s="99" t="s">
        <v>237</v>
      </c>
      <c r="P16" s="64">
        <v>5.7721745222806931E-2</v>
      </c>
      <c r="Q16" s="87"/>
      <c r="R16" s="74"/>
      <c r="S16" s="74"/>
      <c r="T16" s="74"/>
      <c r="U16" s="74"/>
      <c r="V16" s="74"/>
      <c r="W16" s="74"/>
      <c r="X16" s="74"/>
      <c r="Y16" s="74"/>
    </row>
    <row r="17" spans="1:45" ht="17.25" x14ac:dyDescent="0.25">
      <c r="A17" s="25" t="s">
        <v>510</v>
      </c>
      <c r="B17" s="22" t="s">
        <v>487</v>
      </c>
      <c r="C17" s="29">
        <v>1.8210029229521751E-2</v>
      </c>
      <c r="D17" s="29" t="s">
        <v>31</v>
      </c>
      <c r="E17" s="29">
        <v>1.8210029229521751E-2</v>
      </c>
      <c r="F17" s="29">
        <v>2.570175938308239E-2</v>
      </c>
      <c r="G17" s="29">
        <v>3.0712444335222244E-2</v>
      </c>
      <c r="H17" s="29">
        <v>4.7827914357185364E-2</v>
      </c>
      <c r="I17" s="29">
        <v>3.2626934349536896E-2</v>
      </c>
      <c r="J17" s="64">
        <v>1.4416905120015144E-2</v>
      </c>
      <c r="K17" s="29" t="s">
        <v>31</v>
      </c>
      <c r="L17" s="29" t="s">
        <v>31</v>
      </c>
      <c r="M17" s="29" t="s">
        <v>31</v>
      </c>
      <c r="N17" s="64">
        <v>7.4917301535606384E-3</v>
      </c>
      <c r="O17" s="29" t="s">
        <v>31</v>
      </c>
      <c r="P17" s="64">
        <v>2.2126154974102974E-2</v>
      </c>
      <c r="Q17" s="87"/>
      <c r="R17" s="74"/>
      <c r="S17" s="74"/>
      <c r="T17" s="74"/>
      <c r="U17" s="74"/>
      <c r="V17" s="74"/>
      <c r="W17" s="74"/>
      <c r="X17" s="74"/>
      <c r="Y17" s="74"/>
    </row>
    <row r="18" spans="1:45" ht="17.25" x14ac:dyDescent="0.25">
      <c r="A18" s="25" t="s">
        <v>507</v>
      </c>
      <c r="B18" s="22" t="s">
        <v>486</v>
      </c>
      <c r="C18" s="29">
        <v>1.0162601247429848E-3</v>
      </c>
      <c r="D18" s="29" t="s">
        <v>31</v>
      </c>
      <c r="E18" s="29">
        <v>1.0162601247429848E-3</v>
      </c>
      <c r="F18" s="29">
        <v>4.2635351419448853E-2</v>
      </c>
      <c r="G18" s="29">
        <v>6.7444592714309692E-2</v>
      </c>
      <c r="H18" s="29">
        <v>6.3558764755725861E-2</v>
      </c>
      <c r="I18" s="29">
        <v>5.3429007530212402E-2</v>
      </c>
      <c r="J18" s="64">
        <v>5.2412747405469418E-2</v>
      </c>
      <c r="K18" s="99" t="s">
        <v>236</v>
      </c>
      <c r="L18" s="29" t="s">
        <v>31</v>
      </c>
      <c r="M18" s="29" t="s">
        <v>31</v>
      </c>
      <c r="N18" s="64">
        <v>4.1619091294705868E-2</v>
      </c>
      <c r="O18" s="29" t="s">
        <v>31</v>
      </c>
      <c r="P18" s="64">
        <v>2.0923413336277008E-2</v>
      </c>
      <c r="Q18" s="87"/>
      <c r="R18" s="74"/>
      <c r="S18" s="74"/>
      <c r="T18" s="74"/>
      <c r="U18" s="74"/>
      <c r="V18" s="74"/>
      <c r="W18" s="74"/>
      <c r="X18" s="74"/>
      <c r="Y18" s="74"/>
    </row>
    <row r="19" spans="1:45" ht="17.25" x14ac:dyDescent="0.25">
      <c r="A19" s="25" t="s">
        <v>501</v>
      </c>
      <c r="B19" s="22" t="s">
        <v>494</v>
      </c>
      <c r="C19" s="29">
        <v>6.7750673042610288E-4</v>
      </c>
      <c r="D19" s="29" t="s">
        <v>31</v>
      </c>
      <c r="E19" s="29">
        <v>6.7750673042610288E-4</v>
      </c>
      <c r="F19" s="29">
        <v>0.14370718598365784</v>
      </c>
      <c r="G19" s="29">
        <v>0.13446754217147827</v>
      </c>
      <c r="H19" s="29">
        <v>9.855324774980545E-2</v>
      </c>
      <c r="I19" s="29">
        <v>0.12931866943836212</v>
      </c>
      <c r="J19" s="64">
        <v>0.12864116270793602</v>
      </c>
      <c r="K19" s="99" t="s">
        <v>32</v>
      </c>
      <c r="L19" s="29" t="s">
        <v>31</v>
      </c>
      <c r="M19" s="29" t="s">
        <v>31</v>
      </c>
      <c r="N19" s="64">
        <v>0.14302967925323173</v>
      </c>
      <c r="O19" s="99" t="s">
        <v>32</v>
      </c>
      <c r="P19" s="64">
        <v>-4.5153938233852386E-2</v>
      </c>
      <c r="Q19" s="89"/>
      <c r="R19" s="74"/>
      <c r="S19" s="74"/>
      <c r="T19" s="74"/>
      <c r="U19" s="74"/>
      <c r="V19" s="74"/>
      <c r="W19" s="74"/>
      <c r="X19" s="74"/>
      <c r="Y19" s="74"/>
    </row>
    <row r="20" spans="1:45" ht="17.25" x14ac:dyDescent="0.25">
      <c r="A20" s="25" t="s">
        <v>500</v>
      </c>
      <c r="B20" s="22" t="s">
        <v>483</v>
      </c>
      <c r="C20" s="29">
        <v>0</v>
      </c>
      <c r="D20" s="29" t="s">
        <v>31</v>
      </c>
      <c r="E20" s="29">
        <v>0</v>
      </c>
      <c r="F20" s="29">
        <v>7.7282451093196869E-2</v>
      </c>
      <c r="G20" s="29">
        <v>6.2220010906457901E-2</v>
      </c>
      <c r="H20" s="29">
        <v>6.331431120634079E-2</v>
      </c>
      <c r="I20" s="29">
        <v>6.8282961845397949E-2</v>
      </c>
      <c r="J20" s="64">
        <v>6.8282961845397949E-2</v>
      </c>
      <c r="K20" s="99" t="s">
        <v>32</v>
      </c>
      <c r="L20" s="29" t="s">
        <v>31</v>
      </c>
      <c r="M20" s="29" t="s">
        <v>31</v>
      </c>
      <c r="N20" s="64">
        <v>7.7282451093196869E-2</v>
      </c>
      <c r="O20" s="99" t="s">
        <v>32</v>
      </c>
      <c r="P20" s="64">
        <v>-1.3968139886856079E-2</v>
      </c>
      <c r="Q20" s="89"/>
      <c r="R20" s="74"/>
      <c r="S20" s="74"/>
      <c r="T20" s="74"/>
      <c r="U20" s="74"/>
      <c r="V20" s="74"/>
      <c r="W20" s="74"/>
      <c r="X20" s="74"/>
      <c r="Y20" s="74"/>
    </row>
    <row r="21" spans="1:45" ht="17.25" x14ac:dyDescent="0.25">
      <c r="A21" s="67" t="s">
        <v>505</v>
      </c>
      <c r="B21" s="24" t="s">
        <v>481</v>
      </c>
      <c r="C21" s="98">
        <v>0</v>
      </c>
      <c r="D21" s="98" t="s">
        <v>31</v>
      </c>
      <c r="E21" s="98">
        <v>0</v>
      </c>
      <c r="F21" s="98">
        <v>2.1863114088773727E-2</v>
      </c>
      <c r="G21" s="98">
        <v>2.9341885820031166E-2</v>
      </c>
      <c r="H21" s="98">
        <v>3.6751382052898407E-2</v>
      </c>
      <c r="I21" s="98">
        <v>2.8052162379026413E-2</v>
      </c>
      <c r="J21" s="69">
        <v>2.8052162379026413E-2</v>
      </c>
      <c r="K21" s="106" t="s">
        <v>32</v>
      </c>
      <c r="L21" s="98" t="s">
        <v>31</v>
      </c>
      <c r="M21" s="98" t="s">
        <v>31</v>
      </c>
      <c r="N21" s="69">
        <v>2.1863114088773727E-2</v>
      </c>
      <c r="O21" s="106" t="s">
        <v>32</v>
      </c>
      <c r="P21" s="69">
        <v>1.488826796412468E-2</v>
      </c>
      <c r="Q21" s="24"/>
      <c r="R21" s="74"/>
      <c r="S21" s="74"/>
      <c r="T21" s="74"/>
      <c r="U21" s="74"/>
      <c r="V21" s="74"/>
      <c r="W21" s="74"/>
      <c r="X21" s="74"/>
      <c r="Y21" s="74"/>
    </row>
    <row r="22" spans="1:45" hidden="1" x14ac:dyDescent="0.25">
      <c r="B22" s="19"/>
      <c r="C22" s="19"/>
      <c r="D22" s="19"/>
      <c r="E22" s="19"/>
      <c r="F22" s="19"/>
      <c r="G22" s="19"/>
      <c r="H22" s="19"/>
      <c r="Q22" s="22"/>
      <c r="R22" s="74"/>
      <c r="S22" s="74"/>
      <c r="T22" s="74"/>
      <c r="U22" s="74"/>
      <c r="V22" s="74"/>
      <c r="W22" s="74"/>
      <c r="X22" s="74"/>
      <c r="Y22" s="74"/>
    </row>
    <row r="23" spans="1:45" ht="15" hidden="1" customHeight="1" x14ac:dyDescent="0.25">
      <c r="A23" s="184" t="s">
        <v>452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97"/>
    </row>
    <row r="24" spans="1:45" s="2" customFormat="1" ht="29.1" hidden="1" customHeight="1" x14ac:dyDescent="0.25">
      <c r="A24" s="22"/>
      <c r="B24" s="22"/>
      <c r="C24" s="188" t="s">
        <v>44</v>
      </c>
      <c r="D24" s="188"/>
      <c r="E24" s="188"/>
      <c r="F24" s="188" t="s">
        <v>37</v>
      </c>
      <c r="G24" s="188"/>
      <c r="H24" s="188"/>
      <c r="I24" s="188"/>
      <c r="J24" s="66" t="s">
        <v>192</v>
      </c>
      <c r="K24" s="97"/>
      <c r="L24" s="97"/>
      <c r="M24" s="97"/>
      <c r="N24" s="97"/>
      <c r="O24" s="97"/>
      <c r="P24" s="97"/>
      <c r="Q24" s="96"/>
    </row>
    <row r="25" spans="1:45" ht="28.9" hidden="1" customHeight="1" x14ac:dyDescent="0.25">
      <c r="A25" s="56"/>
      <c r="B25" s="56" t="s">
        <v>29</v>
      </c>
      <c r="C25" s="95" t="s">
        <v>187</v>
      </c>
      <c r="D25" s="95" t="s">
        <v>47</v>
      </c>
      <c r="E25" s="95" t="s">
        <v>30</v>
      </c>
      <c r="F25" s="95" t="s">
        <v>188</v>
      </c>
      <c r="G25" s="57" t="s">
        <v>189</v>
      </c>
      <c r="H25" s="95" t="s">
        <v>190</v>
      </c>
      <c r="I25" s="95" t="s">
        <v>30</v>
      </c>
      <c r="J25" s="187" t="s">
        <v>195</v>
      </c>
      <c r="K25" s="187"/>
      <c r="L25" s="187" t="s">
        <v>191</v>
      </c>
      <c r="M25" s="187"/>
      <c r="N25" s="187" t="s">
        <v>193</v>
      </c>
      <c r="O25" s="187"/>
      <c r="P25" s="95" t="s">
        <v>41</v>
      </c>
      <c r="Q25" s="107"/>
      <c r="R25" s="2"/>
      <c r="S25" s="2"/>
      <c r="T25" s="2"/>
      <c r="U25" s="2"/>
      <c r="V25" s="2"/>
      <c r="W25" s="2"/>
      <c r="X25" s="2"/>
      <c r="Y25" s="2"/>
    </row>
    <row r="26" spans="1:45" ht="17.25" hidden="1" x14ac:dyDescent="0.25">
      <c r="A26" s="83" t="s">
        <v>495</v>
      </c>
      <c r="B26" s="21"/>
      <c r="C26" s="84"/>
      <c r="D26" s="84"/>
      <c r="E26" s="84"/>
      <c r="F26" s="84"/>
      <c r="G26" s="84"/>
      <c r="H26" s="84"/>
      <c r="I26" s="84"/>
      <c r="J26" s="86"/>
      <c r="K26" s="85"/>
      <c r="L26" s="84"/>
      <c r="M26" s="85"/>
      <c r="N26" s="86"/>
      <c r="O26" s="85"/>
      <c r="P26" s="84"/>
      <c r="Q26" s="89"/>
    </row>
    <row r="27" spans="1:45" ht="17.25" hidden="1" x14ac:dyDescent="0.25">
      <c r="A27" s="25" t="s">
        <v>496</v>
      </c>
      <c r="B27" s="22" t="s">
        <v>492</v>
      </c>
      <c r="C27" s="29" t="str">
        <f t="shared" ref="C27:I43" si="0">IF(S27&lt;&gt;"",S27,"")</f>
        <v/>
      </c>
      <c r="D27" s="27" t="str">
        <f t="shared" si="0"/>
        <v/>
      </c>
      <c r="E27" s="27" t="str">
        <f t="shared" si="0"/>
        <v/>
      </c>
      <c r="F27" s="27" t="str">
        <f t="shared" si="0"/>
        <v/>
      </c>
      <c r="G27" s="27" t="str">
        <f t="shared" si="0"/>
        <v/>
      </c>
      <c r="H27" s="27" t="str">
        <f t="shared" si="0"/>
        <v/>
      </c>
      <c r="I27" s="27" t="str">
        <f t="shared" si="0"/>
        <v/>
      </c>
      <c r="J27" s="64"/>
      <c r="K27" s="88"/>
      <c r="L27" s="64" t="e">
        <f t="shared" ref="L27:L43" si="1">D27-C27</f>
        <v>#VALUE!</v>
      </c>
      <c r="M27" s="88"/>
      <c r="N27" s="64"/>
      <c r="O27" s="88"/>
      <c r="P27" s="64"/>
      <c r="Q27" s="87"/>
      <c r="R27" s="74"/>
      <c r="S27" s="74"/>
      <c r="T27" s="74"/>
      <c r="U27" s="74"/>
      <c r="V27" s="74"/>
      <c r="W27" s="74"/>
      <c r="X27" s="74"/>
      <c r="Y27" s="74"/>
      <c r="AB27" t="s">
        <v>202</v>
      </c>
      <c r="AC27" t="s">
        <v>479</v>
      </c>
      <c r="AD27" t="s">
        <v>480</v>
      </c>
      <c r="AE27" t="s">
        <v>481</v>
      </c>
      <c r="AF27" t="s">
        <v>482</v>
      </c>
      <c r="AG27" t="s">
        <v>483</v>
      </c>
      <c r="AH27" t="s">
        <v>484</v>
      </c>
      <c r="AI27" t="s">
        <v>485</v>
      </c>
      <c r="AJ27" t="s">
        <v>486</v>
      </c>
      <c r="AK27" t="s">
        <v>487</v>
      </c>
      <c r="AL27" t="s">
        <v>488</v>
      </c>
      <c r="AM27" t="s">
        <v>489</v>
      </c>
      <c r="AN27" t="s">
        <v>490</v>
      </c>
      <c r="AO27" t="s">
        <v>491</v>
      </c>
      <c r="AP27" t="s">
        <v>492</v>
      </c>
      <c r="AQ27" t="s">
        <v>186</v>
      </c>
      <c r="AR27" t="s">
        <v>493</v>
      </c>
      <c r="AS27" t="s">
        <v>494</v>
      </c>
    </row>
    <row r="28" spans="1:45" ht="17.25" hidden="1" x14ac:dyDescent="0.25">
      <c r="A28" s="25" t="s">
        <v>497</v>
      </c>
      <c r="B28" s="22" t="s">
        <v>479</v>
      </c>
      <c r="C28" s="27" t="str">
        <f t="shared" si="0"/>
        <v/>
      </c>
      <c r="D28" s="27" t="str">
        <f t="shared" si="0"/>
        <v/>
      </c>
      <c r="E28" s="27" t="str">
        <f t="shared" si="0"/>
        <v/>
      </c>
      <c r="F28" s="27" t="str">
        <f t="shared" si="0"/>
        <v/>
      </c>
      <c r="G28" s="27" t="str">
        <f t="shared" si="0"/>
        <v/>
      </c>
      <c r="H28" s="27" t="str">
        <f t="shared" si="0"/>
        <v/>
      </c>
      <c r="I28" s="27" t="str">
        <f t="shared" si="0"/>
        <v/>
      </c>
      <c r="J28" s="64"/>
      <c r="K28" s="90"/>
      <c r="L28" s="64" t="e">
        <f t="shared" si="1"/>
        <v>#VALUE!</v>
      </c>
      <c r="M28" s="91"/>
      <c r="N28" s="64"/>
      <c r="O28" s="90"/>
      <c r="P28" s="64"/>
      <c r="Q28" s="87"/>
      <c r="R28" s="74"/>
      <c r="S28" s="74"/>
      <c r="T28" s="74"/>
      <c r="U28" s="74"/>
      <c r="V28" s="74"/>
      <c r="W28" s="74"/>
      <c r="X28" s="74"/>
      <c r="Y28" s="74"/>
      <c r="AB28">
        <v>1</v>
      </c>
      <c r="AC28">
        <v>2.0475299999999998E-2</v>
      </c>
      <c r="AD28">
        <v>0.17067289999999999</v>
      </c>
      <c r="AE28">
        <v>6.3072900000000001E-2</v>
      </c>
      <c r="AF28">
        <v>7.5581300000000004E-2</v>
      </c>
      <c r="AG28">
        <v>4.5286699999999999E-2</v>
      </c>
      <c r="AH28">
        <v>1.44659E-2</v>
      </c>
      <c r="AI28">
        <v>1.5136500000000001E-2</v>
      </c>
      <c r="AJ28">
        <v>0</v>
      </c>
      <c r="AK28">
        <v>0</v>
      </c>
      <c r="AL28">
        <v>7.8963000000000002E-3</v>
      </c>
      <c r="AM28">
        <v>3.8314899999999999E-2</v>
      </c>
      <c r="AN28">
        <v>0.29158810000000002</v>
      </c>
      <c r="AO28">
        <v>2.7576699999999999E-2</v>
      </c>
      <c r="AP28">
        <v>4.03501E-2</v>
      </c>
      <c r="AQ28">
        <v>1.8005299999999998E-2</v>
      </c>
      <c r="AR28">
        <v>3.4429700000000001E-2</v>
      </c>
      <c r="AS28">
        <v>9.7022200000000003E-2</v>
      </c>
    </row>
    <row r="29" spans="1:45" ht="17.25" hidden="1" x14ac:dyDescent="0.25">
      <c r="A29" s="25" t="s">
        <v>498</v>
      </c>
      <c r="B29" s="22" t="s">
        <v>480</v>
      </c>
      <c r="C29" s="27" t="str">
        <f t="shared" si="0"/>
        <v/>
      </c>
      <c r="D29" s="27" t="str">
        <f t="shared" si="0"/>
        <v/>
      </c>
      <c r="E29" s="27" t="str">
        <f t="shared" si="0"/>
        <v/>
      </c>
      <c r="F29" s="27" t="str">
        <f t="shared" si="0"/>
        <v/>
      </c>
      <c r="G29" s="27" t="str">
        <f t="shared" si="0"/>
        <v/>
      </c>
      <c r="H29" s="27" t="str">
        <f t="shared" si="0"/>
        <v/>
      </c>
      <c r="I29" s="27" t="str">
        <f t="shared" si="0"/>
        <v/>
      </c>
      <c r="J29" s="64" t="e">
        <f t="shared" ref="J29:J43" si="2">I29-E29</f>
        <v>#VALUE!</v>
      </c>
      <c r="K29" s="88"/>
      <c r="L29" s="64" t="e">
        <f t="shared" si="1"/>
        <v>#VALUE!</v>
      </c>
      <c r="M29" s="88"/>
      <c r="N29" s="64" t="e">
        <f t="shared" ref="N29:N43" si="3">F29-C29</f>
        <v>#VALUE!</v>
      </c>
      <c r="O29" s="99" t="s">
        <v>237</v>
      </c>
      <c r="P29" s="64" t="e">
        <f t="shared" ref="P29:P43" si="4">H29-F29</f>
        <v>#VALUE!</v>
      </c>
      <c r="Q29" s="87"/>
      <c r="R29" s="74"/>
      <c r="S29" s="74"/>
      <c r="T29" s="74"/>
      <c r="U29" s="74"/>
      <c r="V29" s="74"/>
      <c r="W29" s="74"/>
      <c r="X29" s="74"/>
      <c r="Y29" s="74"/>
      <c r="AB29">
        <v>2</v>
      </c>
      <c r="AC29">
        <v>1.9386199999999999E-2</v>
      </c>
      <c r="AD29">
        <v>0.23399039999999999</v>
      </c>
      <c r="AE29">
        <v>6.3895400000000005E-2</v>
      </c>
      <c r="AF29">
        <v>4.7151699999999998E-2</v>
      </c>
      <c r="AG29">
        <v>6.2706300000000006E-2</v>
      </c>
      <c r="AH29">
        <v>1.6167999999999998E-2</v>
      </c>
      <c r="AI29">
        <v>1.6594500000000002E-2</v>
      </c>
      <c r="AJ29">
        <v>2.1367999999999999E-3</v>
      </c>
      <c r="AK29">
        <v>2.7715999999999999E-3</v>
      </c>
      <c r="AL29">
        <v>7.6616999999999996E-3</v>
      </c>
      <c r="AM29">
        <v>2.5825899999999999E-2</v>
      </c>
      <c r="AN29">
        <v>0.20010549999999999</v>
      </c>
      <c r="AO29">
        <v>2.23859E-2</v>
      </c>
      <c r="AP29">
        <v>8.0211199999999996E-2</v>
      </c>
      <c r="AQ29">
        <v>2.27196E-2</v>
      </c>
      <c r="AR29">
        <v>4.7896899999999999E-2</v>
      </c>
      <c r="AS29">
        <v>7.9267400000000002E-2</v>
      </c>
    </row>
    <row r="30" spans="1:45" ht="17.25" hidden="1" x14ac:dyDescent="0.25">
      <c r="A30" s="25" t="s">
        <v>499</v>
      </c>
      <c r="B30" s="5" t="s">
        <v>490</v>
      </c>
      <c r="C30" s="27" t="str">
        <f t="shared" si="0"/>
        <v/>
      </c>
      <c r="D30" s="27" t="str">
        <f t="shared" si="0"/>
        <v/>
      </c>
      <c r="E30" s="27" t="str">
        <f t="shared" si="0"/>
        <v/>
      </c>
      <c r="F30" s="27" t="str">
        <f t="shared" si="0"/>
        <v/>
      </c>
      <c r="G30" s="27" t="str">
        <f t="shared" si="0"/>
        <v/>
      </c>
      <c r="H30" s="27" t="str">
        <f t="shared" si="0"/>
        <v/>
      </c>
      <c r="I30" s="27" t="str">
        <f t="shared" si="0"/>
        <v/>
      </c>
      <c r="J30" s="64" t="e">
        <f t="shared" si="2"/>
        <v>#VALUE!</v>
      </c>
      <c r="K30" s="90"/>
      <c r="L30" s="64" t="e">
        <f t="shared" si="1"/>
        <v>#VALUE!</v>
      </c>
      <c r="M30" s="99" t="s">
        <v>237</v>
      </c>
      <c r="N30" s="64" t="e">
        <f t="shared" si="3"/>
        <v>#VALUE!</v>
      </c>
      <c r="O30" s="99" t="s">
        <v>237</v>
      </c>
      <c r="P30" s="64" t="e">
        <f t="shared" si="4"/>
        <v>#VALUE!</v>
      </c>
      <c r="Q30" s="87"/>
      <c r="R30" s="74"/>
      <c r="S30" s="74"/>
      <c r="T30" s="74"/>
      <c r="U30" s="74"/>
      <c r="V30" s="74"/>
      <c r="W30" s="74"/>
      <c r="X30" s="74"/>
      <c r="Y30" s="74"/>
      <c r="AB30" s="2">
        <v>2.5</v>
      </c>
      <c r="AC30" s="2">
        <v>1.9975699999999999E-2</v>
      </c>
      <c r="AD30" s="2">
        <v>0.1997864</v>
      </c>
      <c r="AE30" s="2">
        <v>6.5218600000000002E-2</v>
      </c>
      <c r="AF30" s="2">
        <v>5.3665600000000001E-2</v>
      </c>
      <c r="AG30" s="2">
        <v>5.3865900000000001E-2</v>
      </c>
      <c r="AH30" s="2">
        <v>1.4070900000000001E-2</v>
      </c>
      <c r="AI30" s="2">
        <v>1.65913E-2</v>
      </c>
      <c r="AJ30" s="2">
        <v>1.6844E-3</v>
      </c>
      <c r="AK30" s="2">
        <v>2.0287E-3</v>
      </c>
      <c r="AL30" s="2">
        <v>7.7927999999999999E-3</v>
      </c>
      <c r="AM30" s="2">
        <v>2.7611199999999999E-2</v>
      </c>
      <c r="AN30" s="2">
        <v>0.2312147</v>
      </c>
      <c r="AO30" s="2">
        <v>2.8744499999999999E-2</v>
      </c>
      <c r="AP30" s="2">
        <v>7.0409100000000002E-2</v>
      </c>
      <c r="AQ30" s="2">
        <v>2.0422099999999999E-2</v>
      </c>
      <c r="AR30" s="2">
        <v>4.8885100000000001E-2</v>
      </c>
      <c r="AS30" s="2">
        <v>8.5062100000000002E-2</v>
      </c>
    </row>
    <row r="31" spans="1:45" ht="17.25" hidden="1" x14ac:dyDescent="0.25">
      <c r="A31" s="25" t="s">
        <v>500</v>
      </c>
      <c r="B31" s="22" t="s">
        <v>483</v>
      </c>
      <c r="C31" s="27" t="str">
        <f t="shared" si="0"/>
        <v/>
      </c>
      <c r="D31" s="27" t="str">
        <f t="shared" si="0"/>
        <v/>
      </c>
      <c r="E31" s="27" t="str">
        <f t="shared" si="0"/>
        <v/>
      </c>
      <c r="F31" s="27" t="str">
        <f t="shared" si="0"/>
        <v/>
      </c>
      <c r="G31" s="27" t="str">
        <f t="shared" si="0"/>
        <v/>
      </c>
      <c r="H31" s="27" t="str">
        <f t="shared" si="0"/>
        <v/>
      </c>
      <c r="I31" s="27" t="str">
        <f t="shared" si="0"/>
        <v/>
      </c>
      <c r="J31" s="64" t="e">
        <f t="shared" si="2"/>
        <v>#VALUE!</v>
      </c>
      <c r="K31" s="88"/>
      <c r="L31" s="64" t="e">
        <f t="shared" si="1"/>
        <v>#VALUE!</v>
      </c>
      <c r="M31" s="99" t="s">
        <v>237</v>
      </c>
      <c r="N31" s="64" t="e">
        <f t="shared" si="3"/>
        <v>#VALUE!</v>
      </c>
      <c r="O31" s="99" t="s">
        <v>236</v>
      </c>
      <c r="P31" s="64" t="e">
        <f t="shared" si="4"/>
        <v>#VALUE!</v>
      </c>
      <c r="Q31" s="22"/>
      <c r="R31" s="74"/>
      <c r="S31" s="74"/>
      <c r="T31" s="74"/>
      <c r="U31" s="74"/>
      <c r="V31" s="74"/>
      <c r="W31" s="74"/>
      <c r="X31" s="74"/>
      <c r="Y31" s="74"/>
      <c r="AB31">
        <v>3</v>
      </c>
      <c r="AC31" t="s">
        <v>28</v>
      </c>
      <c r="AD31">
        <v>0.30004920000000002</v>
      </c>
      <c r="AE31">
        <v>3.5322199999999998E-2</v>
      </c>
      <c r="AF31">
        <v>3.54422E-2</v>
      </c>
      <c r="AG31">
        <v>0.10871409999999999</v>
      </c>
      <c r="AH31">
        <v>1.6782700000000001E-2</v>
      </c>
      <c r="AI31">
        <v>2.0288199999999999E-2</v>
      </c>
      <c r="AJ31">
        <v>4.4530999999999998E-3</v>
      </c>
      <c r="AK31">
        <v>4.8019999999999998E-3</v>
      </c>
      <c r="AL31">
        <v>2.2527999999999999E-2</v>
      </c>
      <c r="AM31">
        <v>2.4691600000000001E-2</v>
      </c>
      <c r="AN31">
        <v>0.19977010000000001</v>
      </c>
      <c r="AO31">
        <v>4.4745899999999998E-2</v>
      </c>
      <c r="AP31" t="s">
        <v>28</v>
      </c>
      <c r="AQ31">
        <v>4.1125000000000002E-2</v>
      </c>
      <c r="AR31">
        <v>4.7215500000000001E-2</v>
      </c>
      <c r="AS31">
        <v>9.3673400000000004E-2</v>
      </c>
    </row>
    <row r="32" spans="1:45" ht="17.25" hidden="1" x14ac:dyDescent="0.25">
      <c r="A32" s="25" t="s">
        <v>501</v>
      </c>
      <c r="B32" s="22" t="s">
        <v>494</v>
      </c>
      <c r="C32" s="27" t="str">
        <f t="shared" si="0"/>
        <v/>
      </c>
      <c r="D32" s="27" t="str">
        <f t="shared" si="0"/>
        <v/>
      </c>
      <c r="E32" s="27" t="str">
        <f t="shared" si="0"/>
        <v/>
      </c>
      <c r="F32" s="27" t="str">
        <f t="shared" si="0"/>
        <v/>
      </c>
      <c r="G32" s="27" t="str">
        <f t="shared" si="0"/>
        <v/>
      </c>
      <c r="H32" s="27" t="str">
        <f t="shared" si="0"/>
        <v/>
      </c>
      <c r="I32" s="27" t="str">
        <f t="shared" si="0"/>
        <v/>
      </c>
      <c r="J32" s="64" t="e">
        <f t="shared" si="2"/>
        <v>#VALUE!</v>
      </c>
      <c r="K32" s="92"/>
      <c r="L32" s="92" t="e">
        <f t="shared" si="1"/>
        <v>#VALUE!</v>
      </c>
      <c r="M32" s="92"/>
      <c r="N32" s="92" t="e">
        <f t="shared" si="3"/>
        <v>#VALUE!</v>
      </c>
      <c r="O32" s="92"/>
      <c r="P32" s="92" t="e">
        <f t="shared" si="4"/>
        <v>#VALUE!</v>
      </c>
      <c r="Q32" s="87"/>
      <c r="R32" s="74"/>
      <c r="S32" s="74"/>
      <c r="T32" s="74"/>
      <c r="U32" s="74"/>
      <c r="V32" s="74"/>
      <c r="W32" s="74"/>
      <c r="X32" s="74"/>
      <c r="Y32" s="74"/>
      <c r="AB32">
        <v>4</v>
      </c>
      <c r="AC32" t="s">
        <v>28</v>
      </c>
      <c r="AD32">
        <v>0.3127741</v>
      </c>
      <c r="AE32">
        <v>4.2139700000000002E-2</v>
      </c>
      <c r="AF32">
        <v>2.4430500000000001E-2</v>
      </c>
      <c r="AG32">
        <v>7.5512399999999993E-2</v>
      </c>
      <c r="AH32">
        <v>2.40247E-2</v>
      </c>
      <c r="AI32">
        <v>2.5254599999999999E-2</v>
      </c>
      <c r="AJ32">
        <v>1.24884E-2</v>
      </c>
      <c r="AK32">
        <v>1.24435E-2</v>
      </c>
      <c r="AL32">
        <v>3.4155999999999999E-2</v>
      </c>
      <c r="AM32">
        <v>2.3557100000000001E-2</v>
      </c>
      <c r="AN32">
        <v>0.17723620000000001</v>
      </c>
      <c r="AO32">
        <v>6.6818900000000001E-2</v>
      </c>
      <c r="AP32" t="s">
        <v>28</v>
      </c>
      <c r="AQ32">
        <v>4.8772700000000002E-2</v>
      </c>
      <c r="AR32">
        <v>4.2630899999999999E-2</v>
      </c>
      <c r="AS32">
        <v>7.7274700000000002E-2</v>
      </c>
    </row>
    <row r="33" spans="1:45" ht="17.25" hidden="1" x14ac:dyDescent="0.25">
      <c r="A33" s="25" t="s">
        <v>502</v>
      </c>
      <c r="B33" s="22" t="s">
        <v>488</v>
      </c>
      <c r="C33" s="27" t="str">
        <f t="shared" si="0"/>
        <v/>
      </c>
      <c r="D33" s="27" t="str">
        <f t="shared" si="0"/>
        <v/>
      </c>
      <c r="E33" s="27" t="str">
        <f t="shared" si="0"/>
        <v/>
      </c>
      <c r="F33" s="27" t="str">
        <f t="shared" si="0"/>
        <v/>
      </c>
      <c r="G33" s="27" t="str">
        <f t="shared" si="0"/>
        <v/>
      </c>
      <c r="H33" s="27" t="str">
        <f t="shared" si="0"/>
        <v/>
      </c>
      <c r="I33" s="27" t="str">
        <f t="shared" si="0"/>
        <v/>
      </c>
      <c r="J33" s="64" t="e">
        <f t="shared" si="2"/>
        <v>#VALUE!</v>
      </c>
      <c r="K33" s="88"/>
      <c r="L33" s="64" t="e">
        <f t="shared" si="1"/>
        <v>#VALUE!</v>
      </c>
      <c r="M33" s="99" t="s">
        <v>237</v>
      </c>
      <c r="N33" s="64" t="e">
        <f t="shared" si="3"/>
        <v>#VALUE!</v>
      </c>
      <c r="O33" s="88"/>
      <c r="P33" s="64" t="e">
        <f t="shared" si="4"/>
        <v>#VALUE!</v>
      </c>
      <c r="Q33" s="89"/>
      <c r="R33" s="74"/>
      <c r="S33" s="74"/>
      <c r="T33" s="74"/>
      <c r="U33" s="74"/>
      <c r="V33" s="74"/>
      <c r="W33" s="74"/>
      <c r="X33" s="74"/>
      <c r="Y33" s="74"/>
      <c r="AB33">
        <v>5</v>
      </c>
      <c r="AC33" t="s">
        <v>28</v>
      </c>
      <c r="AD33">
        <v>0.32902199999999998</v>
      </c>
      <c r="AE33">
        <v>3.8479899999999997E-2</v>
      </c>
      <c r="AF33">
        <v>5.0147999999999998E-3</v>
      </c>
      <c r="AG33">
        <v>9.76683E-2</v>
      </c>
      <c r="AH33">
        <v>2.7524099999999999E-2</v>
      </c>
      <c r="AI33">
        <v>4.7727899999999997E-2</v>
      </c>
      <c r="AJ33">
        <v>1.4466400000000001E-2</v>
      </c>
      <c r="AK33">
        <v>1.1017600000000001E-2</v>
      </c>
      <c r="AL33">
        <v>5.8293900000000003E-2</v>
      </c>
      <c r="AM33">
        <v>1.2358299999999999E-2</v>
      </c>
      <c r="AN33">
        <v>0.14377980000000001</v>
      </c>
      <c r="AO33">
        <v>5.3043600000000003E-2</v>
      </c>
      <c r="AP33" t="s">
        <v>28</v>
      </c>
      <c r="AQ33">
        <v>2.96154E-2</v>
      </c>
      <c r="AR33">
        <v>3.81593E-2</v>
      </c>
      <c r="AS33">
        <v>9.2717499999999994E-2</v>
      </c>
    </row>
    <row r="34" spans="1:45" ht="17.25" hidden="1" x14ac:dyDescent="0.25">
      <c r="A34" s="25" t="s">
        <v>503</v>
      </c>
      <c r="B34" s="22" t="s">
        <v>491</v>
      </c>
      <c r="C34" s="27" t="str">
        <f t="shared" si="0"/>
        <v/>
      </c>
      <c r="D34" s="27" t="str">
        <f t="shared" si="0"/>
        <v/>
      </c>
      <c r="E34" s="27" t="str">
        <f t="shared" si="0"/>
        <v/>
      </c>
      <c r="F34" s="27" t="str">
        <f t="shared" si="0"/>
        <v/>
      </c>
      <c r="G34" s="27" t="str">
        <f t="shared" si="0"/>
        <v/>
      </c>
      <c r="H34" s="27" t="str">
        <f t="shared" si="0"/>
        <v/>
      </c>
      <c r="I34" s="27" t="str">
        <f t="shared" si="0"/>
        <v/>
      </c>
      <c r="J34" s="64" t="e">
        <f t="shared" si="2"/>
        <v>#VALUE!</v>
      </c>
      <c r="K34" s="88"/>
      <c r="L34" s="64" t="e">
        <f t="shared" si="1"/>
        <v>#VALUE!</v>
      </c>
      <c r="M34" s="88"/>
      <c r="N34" s="64" t="e">
        <f t="shared" si="3"/>
        <v>#VALUE!</v>
      </c>
      <c r="O34" s="88"/>
      <c r="P34" s="64" t="e">
        <f t="shared" si="4"/>
        <v>#VALUE!</v>
      </c>
      <c r="Q34" s="87"/>
      <c r="R34" s="74"/>
      <c r="S34" s="74"/>
      <c r="T34" s="74"/>
      <c r="U34" s="74"/>
      <c r="V34" s="74"/>
      <c r="W34" s="74"/>
      <c r="X34" s="74"/>
      <c r="Y34" s="74"/>
      <c r="AB34">
        <v>5.5</v>
      </c>
      <c r="AC34" t="s">
        <v>28</v>
      </c>
      <c r="AD34">
        <v>0.3042724</v>
      </c>
      <c r="AE34">
        <v>3.7819499999999999E-2</v>
      </c>
      <c r="AF34">
        <v>3.0945500000000001E-2</v>
      </c>
      <c r="AG34">
        <v>0.1011633</v>
      </c>
      <c r="AH34">
        <v>2.0626499999999999E-2</v>
      </c>
      <c r="AI34">
        <v>2.3476400000000001E-2</v>
      </c>
      <c r="AJ34">
        <v>7.7270999999999998E-3</v>
      </c>
      <c r="AK34">
        <v>7.1485000000000003E-3</v>
      </c>
      <c r="AL34">
        <v>2.8249300000000001E-2</v>
      </c>
      <c r="AM34">
        <v>2.31285E-2</v>
      </c>
      <c r="AN34">
        <v>0.18597730000000001</v>
      </c>
      <c r="AO34">
        <v>4.9825800000000003E-2</v>
      </c>
      <c r="AP34" t="s">
        <v>28</v>
      </c>
      <c r="AQ34">
        <v>4.3986999999999998E-2</v>
      </c>
      <c r="AR34">
        <v>4.62809E-2</v>
      </c>
      <c r="AS34">
        <v>8.8896900000000001E-2</v>
      </c>
    </row>
    <row r="35" spans="1:45" ht="17.25" hidden="1" x14ac:dyDescent="0.25">
      <c r="A35" s="25" t="s">
        <v>504</v>
      </c>
      <c r="B35" s="22" t="s">
        <v>485</v>
      </c>
      <c r="C35" s="27" t="str">
        <f t="shared" si="0"/>
        <v/>
      </c>
      <c r="D35" s="27" t="str">
        <f t="shared" si="0"/>
        <v/>
      </c>
      <c r="E35" s="27" t="str">
        <f t="shared" si="0"/>
        <v/>
      </c>
      <c r="F35" s="27" t="str">
        <f t="shared" si="0"/>
        <v/>
      </c>
      <c r="G35" s="27" t="str">
        <f t="shared" si="0"/>
        <v/>
      </c>
      <c r="H35" s="27" t="str">
        <f t="shared" si="0"/>
        <v/>
      </c>
      <c r="I35" s="27" t="str">
        <f t="shared" si="0"/>
        <v/>
      </c>
      <c r="J35" s="64" t="e">
        <f t="shared" si="2"/>
        <v>#VALUE!</v>
      </c>
      <c r="K35" s="88"/>
      <c r="L35" s="64" t="e">
        <f t="shared" si="1"/>
        <v>#VALUE!</v>
      </c>
      <c r="M35" s="91"/>
      <c r="N35" s="64" t="e">
        <f t="shared" si="3"/>
        <v>#VALUE!</v>
      </c>
      <c r="O35" s="88"/>
      <c r="P35" s="64" t="e">
        <f t="shared" si="4"/>
        <v>#VALUE!</v>
      </c>
      <c r="Q35" s="99" t="s">
        <v>237</v>
      </c>
      <c r="R35" s="74"/>
      <c r="S35" s="74"/>
      <c r="T35" s="74"/>
      <c r="U35" s="74"/>
      <c r="V35" s="74"/>
      <c r="W35" s="74"/>
      <c r="X35" s="74"/>
      <c r="Y35" s="74"/>
    </row>
    <row r="36" spans="1:45" ht="17.25" hidden="1" x14ac:dyDescent="0.25">
      <c r="A36" s="25" t="s">
        <v>505</v>
      </c>
      <c r="B36" s="22" t="s">
        <v>481</v>
      </c>
      <c r="C36" s="27" t="str">
        <f t="shared" si="0"/>
        <v/>
      </c>
      <c r="D36" s="27" t="str">
        <f t="shared" si="0"/>
        <v/>
      </c>
      <c r="E36" s="27" t="str">
        <f t="shared" si="0"/>
        <v/>
      </c>
      <c r="F36" s="27" t="str">
        <f t="shared" si="0"/>
        <v/>
      </c>
      <c r="G36" s="27" t="str">
        <f t="shared" si="0"/>
        <v/>
      </c>
      <c r="H36" s="27" t="str">
        <f t="shared" si="0"/>
        <v/>
      </c>
      <c r="I36" s="27" t="str">
        <f t="shared" si="0"/>
        <v/>
      </c>
      <c r="J36" s="64" t="e">
        <f t="shared" si="2"/>
        <v>#VALUE!</v>
      </c>
      <c r="K36" s="88"/>
      <c r="L36" s="64" t="e">
        <f t="shared" si="1"/>
        <v>#VALUE!</v>
      </c>
      <c r="M36" s="91"/>
      <c r="N36" s="64" t="e">
        <f t="shared" si="3"/>
        <v>#VALUE!</v>
      </c>
      <c r="O36" s="88"/>
      <c r="P36" s="64" t="e">
        <f t="shared" si="4"/>
        <v>#VALUE!</v>
      </c>
      <c r="Q36" s="87"/>
      <c r="R36" s="74"/>
      <c r="S36" s="74"/>
      <c r="T36" s="74"/>
      <c r="U36" s="74"/>
      <c r="V36" s="74"/>
      <c r="W36" s="74"/>
      <c r="X36" s="74"/>
      <c r="Y36" s="74"/>
    </row>
    <row r="37" spans="1:45" ht="17.25" hidden="1" x14ac:dyDescent="0.25">
      <c r="A37" s="25" t="s">
        <v>506</v>
      </c>
      <c r="B37" s="22" t="s">
        <v>493</v>
      </c>
      <c r="C37" s="27" t="str">
        <f t="shared" si="0"/>
        <v/>
      </c>
      <c r="D37" s="27" t="str">
        <f t="shared" si="0"/>
        <v/>
      </c>
      <c r="E37" s="27" t="str">
        <f t="shared" si="0"/>
        <v/>
      </c>
      <c r="F37" s="27" t="str">
        <f t="shared" si="0"/>
        <v/>
      </c>
      <c r="G37" s="27" t="str">
        <f t="shared" si="0"/>
        <v/>
      </c>
      <c r="H37" s="27" t="str">
        <f t="shared" si="0"/>
        <v/>
      </c>
      <c r="I37" s="27" t="str">
        <f t="shared" si="0"/>
        <v/>
      </c>
      <c r="J37" s="64" t="e">
        <f t="shared" si="2"/>
        <v>#VALUE!</v>
      </c>
      <c r="K37" s="88"/>
      <c r="L37" s="64" t="e">
        <f t="shared" si="1"/>
        <v>#VALUE!</v>
      </c>
      <c r="M37" s="91"/>
      <c r="N37" s="64" t="e">
        <f t="shared" si="3"/>
        <v>#VALUE!</v>
      </c>
      <c r="O37" s="88"/>
      <c r="P37" s="64" t="e">
        <f t="shared" si="4"/>
        <v>#VALUE!</v>
      </c>
      <c r="Q37" s="89"/>
      <c r="R37" s="74"/>
      <c r="S37" s="74"/>
      <c r="T37" s="74"/>
      <c r="U37" s="74"/>
      <c r="V37" s="74"/>
      <c r="W37" s="74"/>
      <c r="X37" s="74"/>
      <c r="Y37" s="74"/>
    </row>
    <row r="38" spans="1:45" ht="17.25" hidden="1" x14ac:dyDescent="0.25">
      <c r="A38" s="25" t="s">
        <v>185</v>
      </c>
      <c r="B38" s="22" t="s">
        <v>186</v>
      </c>
      <c r="C38" s="27" t="str">
        <f t="shared" si="0"/>
        <v/>
      </c>
      <c r="D38" s="27" t="str">
        <f t="shared" si="0"/>
        <v/>
      </c>
      <c r="E38" s="27" t="str">
        <f t="shared" si="0"/>
        <v/>
      </c>
      <c r="F38" s="27" t="str">
        <f t="shared" si="0"/>
        <v/>
      </c>
      <c r="G38" s="27" t="str">
        <f t="shared" si="0"/>
        <v/>
      </c>
      <c r="H38" s="27" t="str">
        <f t="shared" si="0"/>
        <v/>
      </c>
      <c r="I38" s="27" t="str">
        <f t="shared" si="0"/>
        <v/>
      </c>
      <c r="J38" s="64" t="e">
        <f t="shared" si="2"/>
        <v>#VALUE!</v>
      </c>
      <c r="K38" s="88"/>
      <c r="L38" s="64" t="e">
        <f t="shared" si="1"/>
        <v>#VALUE!</v>
      </c>
      <c r="M38" s="99" t="s">
        <v>236</v>
      </c>
      <c r="N38" s="64" t="e">
        <f t="shared" si="3"/>
        <v>#VALUE!</v>
      </c>
      <c r="O38" s="99" t="s">
        <v>237</v>
      </c>
      <c r="P38" s="64" t="e">
        <f t="shared" si="4"/>
        <v>#VALUE!</v>
      </c>
      <c r="Q38" s="87"/>
      <c r="R38" s="74"/>
      <c r="S38" s="74"/>
      <c r="T38" s="74"/>
      <c r="U38" s="74"/>
      <c r="V38" s="74"/>
      <c r="W38" s="74"/>
      <c r="X38" s="74"/>
      <c r="Y38" s="74"/>
    </row>
    <row r="39" spans="1:45" ht="17.25" hidden="1" x14ac:dyDescent="0.25">
      <c r="A39" s="25" t="s">
        <v>507</v>
      </c>
      <c r="B39" s="22" t="s">
        <v>484</v>
      </c>
      <c r="C39" s="27" t="str">
        <f t="shared" si="0"/>
        <v/>
      </c>
      <c r="D39" s="27" t="str">
        <f t="shared" si="0"/>
        <v/>
      </c>
      <c r="E39" s="27" t="str">
        <f t="shared" si="0"/>
        <v/>
      </c>
      <c r="F39" s="27" t="str">
        <f t="shared" si="0"/>
        <v/>
      </c>
      <c r="G39" s="27" t="str">
        <f t="shared" si="0"/>
        <v/>
      </c>
      <c r="H39" s="27" t="str">
        <f t="shared" si="0"/>
        <v/>
      </c>
      <c r="I39" s="27" t="str">
        <f t="shared" si="0"/>
        <v/>
      </c>
      <c r="J39" s="64" t="e">
        <f t="shared" si="2"/>
        <v>#VALUE!</v>
      </c>
      <c r="K39" s="88"/>
      <c r="L39" s="64" t="e">
        <f t="shared" si="1"/>
        <v>#VALUE!</v>
      </c>
      <c r="M39" s="88"/>
      <c r="N39" s="64" t="e">
        <f t="shared" si="3"/>
        <v>#VALUE!</v>
      </c>
      <c r="O39" s="88"/>
      <c r="P39" s="64" t="e">
        <f t="shared" si="4"/>
        <v>#VALUE!</v>
      </c>
      <c r="Q39" s="87"/>
      <c r="R39" s="74"/>
      <c r="S39" s="74"/>
      <c r="T39" s="74"/>
      <c r="U39" s="74"/>
      <c r="V39" s="74"/>
      <c r="W39" s="74"/>
      <c r="X39" s="74"/>
      <c r="Y39" s="74"/>
    </row>
    <row r="40" spans="1:45" ht="17.25" hidden="1" x14ac:dyDescent="0.25">
      <c r="A40" s="25" t="s">
        <v>508</v>
      </c>
      <c r="B40" s="22" t="s">
        <v>486</v>
      </c>
      <c r="C40" s="27" t="str">
        <f t="shared" si="0"/>
        <v/>
      </c>
      <c r="D40" s="27" t="str">
        <f t="shared" si="0"/>
        <v/>
      </c>
      <c r="E40" s="27" t="str">
        <f t="shared" si="0"/>
        <v/>
      </c>
      <c r="F40" s="27" t="str">
        <f t="shared" si="0"/>
        <v/>
      </c>
      <c r="G40" s="27" t="str">
        <f t="shared" si="0"/>
        <v/>
      </c>
      <c r="H40" s="27" t="str">
        <f t="shared" si="0"/>
        <v/>
      </c>
      <c r="I40" s="27" t="str">
        <f t="shared" si="0"/>
        <v/>
      </c>
      <c r="J40" s="64" t="e">
        <f t="shared" si="2"/>
        <v>#VALUE!</v>
      </c>
      <c r="K40" s="88"/>
      <c r="L40" s="64" t="e">
        <f t="shared" si="1"/>
        <v>#VALUE!</v>
      </c>
      <c r="M40" s="99" t="s">
        <v>236</v>
      </c>
      <c r="N40" s="64" t="e">
        <f t="shared" si="3"/>
        <v>#VALUE!</v>
      </c>
      <c r="O40" s="99" t="s">
        <v>236</v>
      </c>
      <c r="P40" s="64" t="e">
        <f t="shared" si="4"/>
        <v>#VALUE!</v>
      </c>
      <c r="Q40" s="87"/>
      <c r="R40" s="74"/>
      <c r="S40" s="74"/>
      <c r="T40" s="74"/>
      <c r="U40" s="74"/>
      <c r="V40" s="74"/>
      <c r="W40" s="74"/>
      <c r="X40" s="74"/>
      <c r="Y40" s="74"/>
    </row>
    <row r="41" spans="1:45" ht="17.25" hidden="1" x14ac:dyDescent="0.25">
      <c r="A41" s="25" t="s">
        <v>509</v>
      </c>
      <c r="B41" s="22" t="s">
        <v>489</v>
      </c>
      <c r="C41" s="27" t="str">
        <f t="shared" si="0"/>
        <v/>
      </c>
      <c r="D41" s="27" t="str">
        <f t="shared" si="0"/>
        <v/>
      </c>
      <c r="E41" s="27" t="str">
        <f t="shared" si="0"/>
        <v/>
      </c>
      <c r="F41" s="27" t="str">
        <f t="shared" si="0"/>
        <v/>
      </c>
      <c r="G41" s="27" t="str">
        <f t="shared" si="0"/>
        <v/>
      </c>
      <c r="H41" s="27" t="str">
        <f t="shared" si="0"/>
        <v/>
      </c>
      <c r="I41" s="27" t="str">
        <f t="shared" si="0"/>
        <v/>
      </c>
      <c r="J41" s="64" t="e">
        <f t="shared" si="2"/>
        <v>#VALUE!</v>
      </c>
      <c r="K41" s="90"/>
      <c r="L41" s="64" t="e">
        <f t="shared" si="1"/>
        <v>#VALUE!</v>
      </c>
      <c r="M41" s="90"/>
      <c r="N41" s="64" t="e">
        <f t="shared" si="3"/>
        <v>#VALUE!</v>
      </c>
      <c r="O41" s="90"/>
      <c r="P41" s="64" t="e">
        <f t="shared" si="4"/>
        <v>#VALUE!</v>
      </c>
      <c r="Q41" s="89"/>
      <c r="R41" s="74"/>
      <c r="S41" s="74"/>
      <c r="T41" s="74"/>
      <c r="U41" s="74"/>
      <c r="V41" s="74"/>
      <c r="W41" s="74"/>
      <c r="X41" s="74"/>
      <c r="Y41" s="74"/>
    </row>
    <row r="42" spans="1:45" ht="17.25" hidden="1" x14ac:dyDescent="0.25">
      <c r="A42" s="25" t="s">
        <v>510</v>
      </c>
      <c r="B42" s="22" t="s">
        <v>487</v>
      </c>
      <c r="C42" s="27" t="str">
        <f t="shared" si="0"/>
        <v/>
      </c>
      <c r="D42" s="27" t="str">
        <f t="shared" si="0"/>
        <v/>
      </c>
      <c r="E42" s="27" t="str">
        <f t="shared" si="0"/>
        <v/>
      </c>
      <c r="F42" s="27" t="str">
        <f t="shared" si="0"/>
        <v/>
      </c>
      <c r="G42" s="27" t="str">
        <f t="shared" si="0"/>
        <v/>
      </c>
      <c r="H42" s="27" t="str">
        <f t="shared" si="0"/>
        <v/>
      </c>
      <c r="I42" s="27" t="str">
        <f t="shared" si="0"/>
        <v/>
      </c>
      <c r="J42" s="64" t="e">
        <f t="shared" si="2"/>
        <v>#VALUE!</v>
      </c>
      <c r="K42" s="90"/>
      <c r="L42" s="64" t="e">
        <f t="shared" si="1"/>
        <v>#VALUE!</v>
      </c>
      <c r="M42" s="99" t="s">
        <v>237</v>
      </c>
      <c r="N42" s="64" t="e">
        <f t="shared" si="3"/>
        <v>#VALUE!</v>
      </c>
      <c r="O42" s="99" t="s">
        <v>236</v>
      </c>
      <c r="P42" s="64" t="e">
        <f t="shared" si="4"/>
        <v>#VALUE!</v>
      </c>
      <c r="Q42" s="89"/>
      <c r="R42" s="74"/>
      <c r="S42" s="74"/>
      <c r="T42" s="74"/>
      <c r="U42" s="74"/>
      <c r="V42" s="74"/>
      <c r="W42" s="74"/>
      <c r="X42" s="74"/>
      <c r="Y42" s="74"/>
    </row>
    <row r="43" spans="1:45" ht="17.25" hidden="1" x14ac:dyDescent="0.25">
      <c r="A43" s="67" t="s">
        <v>511</v>
      </c>
      <c r="B43" s="24" t="s">
        <v>482</v>
      </c>
      <c r="C43" s="58" t="str">
        <f t="shared" si="0"/>
        <v/>
      </c>
      <c r="D43" s="58" t="str">
        <f t="shared" si="0"/>
        <v/>
      </c>
      <c r="E43" s="58" t="str">
        <f t="shared" si="0"/>
        <v/>
      </c>
      <c r="F43" s="58" t="str">
        <f t="shared" si="0"/>
        <v/>
      </c>
      <c r="G43" s="58" t="str">
        <f t="shared" si="0"/>
        <v/>
      </c>
      <c r="H43" s="58" t="str">
        <f t="shared" si="0"/>
        <v/>
      </c>
      <c r="I43" s="58" t="str">
        <f t="shared" si="0"/>
        <v/>
      </c>
      <c r="J43" s="69" t="e">
        <f t="shared" si="2"/>
        <v>#VALUE!</v>
      </c>
      <c r="K43" s="106" t="s">
        <v>237</v>
      </c>
      <c r="L43" s="69" t="e">
        <f t="shared" si="1"/>
        <v>#VALUE!</v>
      </c>
      <c r="M43" s="100"/>
      <c r="N43" s="69" t="e">
        <f t="shared" si="3"/>
        <v>#VALUE!</v>
      </c>
      <c r="O43" s="106" t="s">
        <v>237</v>
      </c>
      <c r="P43" s="69" t="e">
        <f t="shared" si="4"/>
        <v>#VALUE!</v>
      </c>
      <c r="Q43" s="106" t="s">
        <v>32</v>
      </c>
      <c r="R43" s="74"/>
      <c r="S43" s="74"/>
      <c r="T43" s="74"/>
      <c r="U43" s="74"/>
      <c r="V43" s="74"/>
      <c r="W43" s="74"/>
      <c r="X43" s="74"/>
      <c r="Y43" s="74"/>
    </row>
    <row r="44" spans="1:45" ht="17.25" x14ac:dyDescent="0.25">
      <c r="A44" s="25"/>
      <c r="B44" s="22"/>
      <c r="C44" s="27"/>
      <c r="D44" s="27"/>
      <c r="E44" s="27"/>
      <c r="F44" s="27"/>
      <c r="G44" s="27"/>
      <c r="H44" s="27"/>
      <c r="I44" s="27"/>
      <c r="J44" s="64"/>
      <c r="K44" s="99"/>
      <c r="L44" s="64"/>
      <c r="M44" s="91"/>
      <c r="N44" s="64"/>
      <c r="O44" s="99"/>
      <c r="P44" s="64"/>
      <c r="Q44" s="99"/>
      <c r="R44" s="74"/>
      <c r="S44" s="74"/>
      <c r="T44" s="74"/>
      <c r="U44" s="74"/>
      <c r="V44" s="74"/>
      <c r="W44" s="74"/>
      <c r="X44" s="74"/>
      <c r="Y44" s="74"/>
    </row>
    <row r="45" spans="1:45" x14ac:dyDescent="0.25">
      <c r="A45" s="109"/>
      <c r="B45" s="19"/>
      <c r="C45" s="19"/>
      <c r="D45" s="19"/>
      <c r="E45" s="19"/>
      <c r="F45" s="19"/>
      <c r="G45" s="19"/>
      <c r="H45" s="19"/>
      <c r="Q45" s="22"/>
      <c r="R45" s="74"/>
      <c r="S45" s="74"/>
      <c r="T45" s="74"/>
      <c r="U45" s="74"/>
      <c r="V45" s="74"/>
      <c r="W45" s="74"/>
      <c r="X45" s="74"/>
      <c r="Y45" s="74"/>
    </row>
    <row r="46" spans="1:45" x14ac:dyDescent="0.25">
      <c r="J46" s="114"/>
      <c r="K46"/>
      <c r="L46"/>
      <c r="M46"/>
      <c r="N46"/>
      <c r="O46"/>
      <c r="P46"/>
      <c r="Q46"/>
    </row>
    <row r="49" spans="5:5" x14ac:dyDescent="0.25">
      <c r="E49" s="22"/>
    </row>
    <row r="50" spans="5:5" ht="17.25" x14ac:dyDescent="0.25">
      <c r="E50" s="99"/>
    </row>
    <row r="51" spans="5:5" ht="17.25" x14ac:dyDescent="0.25">
      <c r="E51" s="99"/>
    </row>
    <row r="52" spans="5:5" ht="17.25" x14ac:dyDescent="0.25">
      <c r="E52" s="99"/>
    </row>
    <row r="53" spans="5:5" x14ac:dyDescent="0.25">
      <c r="E53" s="22"/>
    </row>
    <row r="54" spans="5:5" x14ac:dyDescent="0.25">
      <c r="E54" s="22"/>
    </row>
  </sheetData>
  <sortState ref="A7:P21">
    <sortCondition descending="1" ref="C7:C21"/>
  </sortState>
  <customSheetViews>
    <customSheetView guid="{BF4B7214-A780-4E29-8376-D0EF10A37853}" showPageBreaks="1" fitToPage="1" printArea="1" hiddenRows="1" hiddenColumns="1" view="pageBreakPreview">
      <selection activeCell="F48" sqref="F48"/>
      <pageMargins left="0.7" right="0.7" top="0.75" bottom="0.75" header="0.3" footer="0.3"/>
      <printOptions horizontalCentered="1"/>
      <pageSetup orientation="landscape" r:id="rId1"/>
    </customSheetView>
  </customSheetViews>
  <mergeCells count="13">
    <mergeCell ref="A23:P23"/>
    <mergeCell ref="C24:E24"/>
    <mergeCell ref="F24:I24"/>
    <mergeCell ref="J25:K25"/>
    <mergeCell ref="L25:M25"/>
    <mergeCell ref="N25:O25"/>
    <mergeCell ref="A1:P1"/>
    <mergeCell ref="A3:P3"/>
    <mergeCell ref="L5:M5"/>
    <mergeCell ref="N5:O5"/>
    <mergeCell ref="E4:E5"/>
    <mergeCell ref="F4:I4"/>
    <mergeCell ref="J4:K5"/>
  </mergeCells>
  <printOptions horizontalCentered="1"/>
  <pageMargins left="0.7" right="0.7" top="0.75" bottom="0.75" header="0.3" footer="0.3"/>
  <pageSetup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E252"/>
  <sheetViews>
    <sheetView view="pageBreakPreview" topLeftCell="A6" zoomScaleNormal="100" zoomScaleSheetLayoutView="100" workbookViewId="0">
      <selection activeCell="Y44" sqref="Y44"/>
    </sheetView>
  </sheetViews>
  <sheetFormatPr defaultColWidth="9.140625" defaultRowHeight="15" x14ac:dyDescent="0.25"/>
  <cols>
    <col min="1" max="1" width="30.28515625" style="18" customWidth="1"/>
    <col min="2" max="2" width="27.85546875" style="101" customWidth="1"/>
    <col min="3" max="3" width="28" style="101" customWidth="1"/>
    <col min="4" max="4" width="26.7109375" style="101" customWidth="1"/>
    <col min="5" max="5" width="32.42578125" style="101" customWidth="1"/>
  </cols>
  <sheetData>
    <row r="1" spans="1:5" x14ac:dyDescent="0.25">
      <c r="A1" s="175" t="s">
        <v>2092</v>
      </c>
      <c r="B1" s="175"/>
      <c r="C1" s="175"/>
      <c r="D1" s="175"/>
      <c r="E1" s="175"/>
    </row>
    <row r="2" spans="1:5" ht="42.75" customHeight="1" x14ac:dyDescent="0.25">
      <c r="A2" s="189" t="s">
        <v>621</v>
      </c>
      <c r="B2" s="189"/>
      <c r="C2" s="189"/>
      <c r="D2" s="189"/>
      <c r="E2" s="189"/>
    </row>
    <row r="4" spans="1:5" x14ac:dyDescent="0.25">
      <c r="A4" s="21" t="s">
        <v>31</v>
      </c>
      <c r="B4" s="190" t="s">
        <v>529</v>
      </c>
      <c r="C4" s="190"/>
      <c r="D4" s="190"/>
      <c r="E4" s="190"/>
    </row>
    <row r="5" spans="1:5" x14ac:dyDescent="0.25">
      <c r="A5" s="24" t="s">
        <v>31</v>
      </c>
      <c r="B5" s="102" t="s">
        <v>530</v>
      </c>
      <c r="C5" s="102" t="s">
        <v>531</v>
      </c>
      <c r="D5" s="102" t="s">
        <v>532</v>
      </c>
      <c r="E5" s="102" t="s">
        <v>533</v>
      </c>
    </row>
    <row r="7" spans="1:5" ht="17.25" x14ac:dyDescent="0.25">
      <c r="A7" s="46" t="s">
        <v>534</v>
      </c>
      <c r="B7" s="168" t="s">
        <v>2086</v>
      </c>
      <c r="C7" s="132" t="s">
        <v>2087</v>
      </c>
      <c r="D7" s="132" t="s">
        <v>2088</v>
      </c>
      <c r="E7" s="132" t="s">
        <v>826</v>
      </c>
    </row>
    <row r="8" spans="1:5" x14ac:dyDescent="0.25">
      <c r="A8" s="18" t="s">
        <v>31</v>
      </c>
      <c r="B8" s="101" t="s">
        <v>622</v>
      </c>
      <c r="C8" s="101" t="s">
        <v>2085</v>
      </c>
      <c r="D8" s="101" t="s">
        <v>623</v>
      </c>
      <c r="E8" s="101" t="s">
        <v>624</v>
      </c>
    </row>
    <row r="10" spans="1:5" ht="17.25" hidden="1" x14ac:dyDescent="0.25">
      <c r="A10" t="str">
        <f>"Code==ARG"</f>
        <v>Code==ARG</v>
      </c>
      <c r="B10" s="101" t="s">
        <v>28</v>
      </c>
      <c r="C10" s="132" t="s">
        <v>827</v>
      </c>
      <c r="D10" s="101" t="s">
        <v>28</v>
      </c>
      <c r="E10" s="101" t="s">
        <v>28</v>
      </c>
    </row>
    <row r="11" spans="1:5" hidden="1" x14ac:dyDescent="0.25">
      <c r="A11" t="str">
        <f>""</f>
        <v/>
      </c>
      <c r="B11" s="101" t="s">
        <v>28</v>
      </c>
      <c r="C11" s="101" t="s">
        <v>535</v>
      </c>
      <c r="D11" s="101" t="s">
        <v>28</v>
      </c>
      <c r="E11" s="101" t="s">
        <v>28</v>
      </c>
    </row>
    <row r="12" spans="1:5" hidden="1" x14ac:dyDescent="0.25">
      <c r="A12"/>
    </row>
    <row r="13" spans="1:5" ht="17.25" hidden="1" x14ac:dyDescent="0.25">
      <c r="A13" t="str">
        <f>"Code==AUT"</f>
        <v>Code==AUT</v>
      </c>
      <c r="B13" s="132" t="s">
        <v>828</v>
      </c>
      <c r="C13" s="132" t="s">
        <v>829</v>
      </c>
      <c r="D13" s="132" t="s">
        <v>830</v>
      </c>
      <c r="E13" s="101" t="s">
        <v>28</v>
      </c>
    </row>
    <row r="14" spans="1:5" hidden="1" x14ac:dyDescent="0.25">
      <c r="A14" t="str">
        <f>""</f>
        <v/>
      </c>
      <c r="B14" s="101" t="s">
        <v>625</v>
      </c>
      <c r="C14" s="101" t="s">
        <v>626</v>
      </c>
      <c r="D14" s="101" t="s">
        <v>627</v>
      </c>
      <c r="E14" s="101" t="s">
        <v>28</v>
      </c>
    </row>
    <row r="15" spans="1:5" hidden="1" x14ac:dyDescent="0.25">
      <c r="A15"/>
    </row>
    <row r="16" spans="1:5" ht="17.25" hidden="1" x14ac:dyDescent="0.25">
      <c r="A16" t="str">
        <f>"Code==BEL"</f>
        <v>Code==BEL</v>
      </c>
      <c r="B16" s="132" t="s">
        <v>831</v>
      </c>
      <c r="C16" s="132" t="s">
        <v>832</v>
      </c>
      <c r="D16" s="132" t="s">
        <v>833</v>
      </c>
      <c r="E16" s="101" t="s">
        <v>28</v>
      </c>
    </row>
    <row r="17" spans="1:5" hidden="1" x14ac:dyDescent="0.25">
      <c r="A17" t="str">
        <f>""</f>
        <v/>
      </c>
      <c r="B17" s="101" t="s">
        <v>628</v>
      </c>
      <c r="C17" s="101" t="s">
        <v>629</v>
      </c>
      <c r="D17" s="101" t="s">
        <v>630</v>
      </c>
      <c r="E17" s="101" t="s">
        <v>28</v>
      </c>
    </row>
    <row r="18" spans="1:5" hidden="1" x14ac:dyDescent="0.25">
      <c r="A18"/>
    </row>
    <row r="19" spans="1:5" ht="17.25" hidden="1" x14ac:dyDescent="0.25">
      <c r="A19" t="str">
        <f>"Code==BEN"</f>
        <v>Code==BEN</v>
      </c>
      <c r="B19" s="132" t="s">
        <v>834</v>
      </c>
      <c r="C19" s="132" t="s">
        <v>835</v>
      </c>
      <c r="D19" s="132" t="s">
        <v>836</v>
      </c>
      <c r="E19" s="101" t="s">
        <v>28</v>
      </c>
    </row>
    <row r="20" spans="1:5" hidden="1" x14ac:dyDescent="0.25">
      <c r="A20" t="str">
        <f>""</f>
        <v/>
      </c>
      <c r="B20" s="101" t="s">
        <v>631</v>
      </c>
      <c r="C20" s="101" t="s">
        <v>542</v>
      </c>
      <c r="D20" s="101" t="s">
        <v>632</v>
      </c>
      <c r="E20" s="101" t="s">
        <v>28</v>
      </c>
    </row>
    <row r="21" spans="1:5" hidden="1" x14ac:dyDescent="0.25">
      <c r="A21"/>
    </row>
    <row r="22" spans="1:5" ht="17.25" hidden="1" x14ac:dyDescent="0.25">
      <c r="A22" t="str">
        <f>"Code==BFA"</f>
        <v>Code==BFA</v>
      </c>
      <c r="B22" s="132" t="s">
        <v>837</v>
      </c>
      <c r="C22" s="101" t="s">
        <v>28</v>
      </c>
      <c r="D22" s="101" t="s">
        <v>28</v>
      </c>
      <c r="E22" s="101" t="s">
        <v>28</v>
      </c>
    </row>
    <row r="23" spans="1:5" hidden="1" x14ac:dyDescent="0.25">
      <c r="A23" t="str">
        <f>""</f>
        <v/>
      </c>
      <c r="B23" s="101" t="s">
        <v>633</v>
      </c>
      <c r="C23" s="101" t="s">
        <v>28</v>
      </c>
      <c r="D23" s="101" t="s">
        <v>28</v>
      </c>
      <c r="E23" s="101" t="s">
        <v>28</v>
      </c>
    </row>
    <row r="24" spans="1:5" hidden="1" x14ac:dyDescent="0.25">
      <c r="A24"/>
    </row>
    <row r="25" spans="1:5" ht="17.25" hidden="1" x14ac:dyDescent="0.25">
      <c r="A25" t="str">
        <f>"Code==BGR"</f>
        <v>Code==BGR</v>
      </c>
      <c r="B25" s="132" t="s">
        <v>838</v>
      </c>
      <c r="C25" s="101" t="s">
        <v>634</v>
      </c>
      <c r="D25" s="132" t="s">
        <v>839</v>
      </c>
      <c r="E25" s="101" t="s">
        <v>28</v>
      </c>
    </row>
    <row r="26" spans="1:5" hidden="1" x14ac:dyDescent="0.25">
      <c r="A26" t="str">
        <f>""</f>
        <v/>
      </c>
      <c r="B26" s="101" t="s">
        <v>635</v>
      </c>
      <c r="C26" s="101" t="s">
        <v>636</v>
      </c>
      <c r="D26" s="101" t="s">
        <v>637</v>
      </c>
      <c r="E26" s="101" t="s">
        <v>28</v>
      </c>
    </row>
    <row r="27" spans="1:5" hidden="1" x14ac:dyDescent="0.25">
      <c r="A27"/>
    </row>
    <row r="28" spans="1:5" ht="17.25" hidden="1" x14ac:dyDescent="0.25">
      <c r="A28" t="str">
        <f>"Code==BIH"</f>
        <v>Code==BIH</v>
      </c>
      <c r="B28" s="101" t="s">
        <v>28</v>
      </c>
      <c r="C28" s="132" t="s">
        <v>840</v>
      </c>
      <c r="D28" s="132" t="s">
        <v>841</v>
      </c>
      <c r="E28" s="101" t="s">
        <v>28</v>
      </c>
    </row>
    <row r="29" spans="1:5" hidden="1" x14ac:dyDescent="0.25">
      <c r="A29" t="str">
        <f>""</f>
        <v/>
      </c>
      <c r="B29" s="101" t="s">
        <v>28</v>
      </c>
      <c r="C29" s="101" t="s">
        <v>638</v>
      </c>
      <c r="D29" s="101" t="s">
        <v>639</v>
      </c>
      <c r="E29" s="101" t="s">
        <v>28</v>
      </c>
    </row>
    <row r="30" spans="1:5" hidden="1" x14ac:dyDescent="0.25">
      <c r="A30"/>
    </row>
    <row r="31" spans="1:5" hidden="1" x14ac:dyDescent="0.25">
      <c r="A31" t="str">
        <f>"Code==BRA"</f>
        <v>Code==BRA</v>
      </c>
      <c r="B31" s="101" t="s">
        <v>28</v>
      </c>
      <c r="C31" s="101" t="s">
        <v>28</v>
      </c>
      <c r="D31" s="101" t="s">
        <v>28</v>
      </c>
      <c r="E31" s="101" t="s">
        <v>28</v>
      </c>
    </row>
    <row r="32" spans="1:5" hidden="1" x14ac:dyDescent="0.25">
      <c r="A32" t="str">
        <f>""</f>
        <v/>
      </c>
      <c r="B32" s="101" t="s">
        <v>28</v>
      </c>
      <c r="C32" s="101" t="s">
        <v>28</v>
      </c>
      <c r="D32" s="101" t="s">
        <v>28</v>
      </c>
      <c r="E32" s="101" t="s">
        <v>28</v>
      </c>
    </row>
    <row r="33" spans="1:5" hidden="1" x14ac:dyDescent="0.25">
      <c r="A33"/>
    </row>
    <row r="34" spans="1:5" ht="17.25" hidden="1" x14ac:dyDescent="0.25">
      <c r="A34" t="str">
        <f>"Code==CAN"</f>
        <v>Code==CAN</v>
      </c>
      <c r="B34" s="132" t="s">
        <v>842</v>
      </c>
      <c r="C34" s="132" t="s">
        <v>843</v>
      </c>
      <c r="D34" s="132" t="s">
        <v>844</v>
      </c>
      <c r="E34" s="101" t="s">
        <v>28</v>
      </c>
    </row>
    <row r="35" spans="1:5" hidden="1" x14ac:dyDescent="0.25">
      <c r="A35" t="str">
        <f>""</f>
        <v/>
      </c>
      <c r="B35" s="101" t="s">
        <v>539</v>
      </c>
      <c r="C35" s="101" t="s">
        <v>545</v>
      </c>
      <c r="D35" s="101" t="s">
        <v>640</v>
      </c>
      <c r="E35" s="101" t="s">
        <v>28</v>
      </c>
    </row>
    <row r="36" spans="1:5" hidden="1" x14ac:dyDescent="0.25">
      <c r="A36"/>
    </row>
    <row r="37" spans="1:5" ht="17.25" hidden="1" x14ac:dyDescent="0.25">
      <c r="A37" t="str">
        <f>"Code==CHE"</f>
        <v>Code==CHE</v>
      </c>
      <c r="B37" s="132" t="s">
        <v>845</v>
      </c>
      <c r="C37" s="132" t="s">
        <v>846</v>
      </c>
      <c r="D37" s="101" t="s">
        <v>641</v>
      </c>
      <c r="E37" s="132" t="s">
        <v>847</v>
      </c>
    </row>
    <row r="38" spans="1:5" hidden="1" x14ac:dyDescent="0.25">
      <c r="A38" t="str">
        <f>""</f>
        <v/>
      </c>
      <c r="B38" s="101" t="s">
        <v>642</v>
      </c>
      <c r="C38" s="101" t="s">
        <v>643</v>
      </c>
      <c r="D38" s="101" t="s">
        <v>262</v>
      </c>
      <c r="E38" s="101" t="s">
        <v>644</v>
      </c>
    </row>
    <row r="39" spans="1:5" hidden="1" x14ac:dyDescent="0.25">
      <c r="A39"/>
    </row>
    <row r="40" spans="1:5" ht="17.25" hidden="1" x14ac:dyDescent="0.25">
      <c r="A40" t="str">
        <f>"Code==CHN"</f>
        <v>Code==CHN</v>
      </c>
      <c r="B40" s="132" t="s">
        <v>848</v>
      </c>
      <c r="C40" s="101" t="s">
        <v>645</v>
      </c>
      <c r="D40" s="132" t="s">
        <v>849</v>
      </c>
      <c r="E40" s="101" t="s">
        <v>28</v>
      </c>
    </row>
    <row r="41" spans="1:5" hidden="1" x14ac:dyDescent="0.25">
      <c r="A41" t="str">
        <f>""</f>
        <v/>
      </c>
      <c r="B41" s="101" t="s">
        <v>646</v>
      </c>
      <c r="C41" s="101" t="s">
        <v>521</v>
      </c>
      <c r="D41" s="101" t="s">
        <v>647</v>
      </c>
      <c r="E41" s="101" t="s">
        <v>28</v>
      </c>
    </row>
    <row r="42" spans="1:5" hidden="1" x14ac:dyDescent="0.25">
      <c r="A42"/>
    </row>
    <row r="43" spans="1:5" hidden="1" x14ac:dyDescent="0.25">
      <c r="A43" t="str">
        <f>"Code==CMR"</f>
        <v>Code==CMR</v>
      </c>
      <c r="B43" s="101" t="s">
        <v>28</v>
      </c>
      <c r="C43" s="101" t="s">
        <v>28</v>
      </c>
      <c r="D43" s="101" t="s">
        <v>28</v>
      </c>
      <c r="E43" s="101" t="s">
        <v>28</v>
      </c>
    </row>
    <row r="44" spans="1:5" hidden="1" x14ac:dyDescent="0.25">
      <c r="A44" t="str">
        <f>""</f>
        <v/>
      </c>
      <c r="B44" s="101" t="s">
        <v>28</v>
      </c>
      <c r="C44" s="101" t="s">
        <v>28</v>
      </c>
      <c r="D44" s="101" t="s">
        <v>28</v>
      </c>
      <c r="E44" s="101" t="s">
        <v>28</v>
      </c>
    </row>
    <row r="45" spans="1:5" hidden="1" x14ac:dyDescent="0.25">
      <c r="A45"/>
    </row>
    <row r="46" spans="1:5" ht="17.25" hidden="1" x14ac:dyDescent="0.25">
      <c r="A46" t="str">
        <f>"Code==COL"</f>
        <v>Code==COL</v>
      </c>
      <c r="B46" s="132" t="s">
        <v>850</v>
      </c>
      <c r="C46" s="132" t="s">
        <v>851</v>
      </c>
      <c r="D46" s="132" t="s">
        <v>852</v>
      </c>
      <c r="E46" s="132" t="s">
        <v>853</v>
      </c>
    </row>
    <row r="47" spans="1:5" hidden="1" x14ac:dyDescent="0.25">
      <c r="A47" t="str">
        <f>""</f>
        <v/>
      </c>
      <c r="B47" s="101" t="s">
        <v>648</v>
      </c>
      <c r="C47" s="101" t="s">
        <v>649</v>
      </c>
      <c r="D47" s="101" t="s">
        <v>650</v>
      </c>
      <c r="E47" s="101" t="s">
        <v>651</v>
      </c>
    </row>
    <row r="48" spans="1:5" hidden="1" x14ac:dyDescent="0.25">
      <c r="A48"/>
    </row>
    <row r="49" spans="1:5" ht="17.25" hidden="1" x14ac:dyDescent="0.25">
      <c r="A49" t="str">
        <f>"Code==CZE"</f>
        <v>Code==CZE</v>
      </c>
      <c r="B49" s="132" t="s">
        <v>854</v>
      </c>
      <c r="C49" s="132" t="s">
        <v>855</v>
      </c>
      <c r="D49" s="132" t="s">
        <v>856</v>
      </c>
      <c r="E49" s="101" t="s">
        <v>28</v>
      </c>
    </row>
    <row r="50" spans="1:5" hidden="1" x14ac:dyDescent="0.25">
      <c r="A50" t="str">
        <f>""</f>
        <v/>
      </c>
      <c r="B50" s="101" t="s">
        <v>652</v>
      </c>
      <c r="C50" s="101" t="s">
        <v>653</v>
      </c>
      <c r="D50" s="101" t="s">
        <v>654</v>
      </c>
      <c r="E50" s="101" t="s">
        <v>28</v>
      </c>
    </row>
    <row r="51" spans="1:5" hidden="1" x14ac:dyDescent="0.25">
      <c r="A51"/>
    </row>
    <row r="52" spans="1:5" ht="17.25" hidden="1" x14ac:dyDescent="0.25">
      <c r="A52" t="str">
        <f>"Code==DEU"</f>
        <v>Code==DEU</v>
      </c>
      <c r="B52" s="101" t="s">
        <v>28</v>
      </c>
      <c r="C52" s="132" t="s">
        <v>857</v>
      </c>
      <c r="D52" s="101" t="s">
        <v>655</v>
      </c>
      <c r="E52" s="132" t="s">
        <v>858</v>
      </c>
    </row>
    <row r="53" spans="1:5" hidden="1" x14ac:dyDescent="0.25">
      <c r="A53" t="str">
        <f>""</f>
        <v/>
      </c>
      <c r="B53" s="101" t="s">
        <v>28</v>
      </c>
      <c r="C53" s="101" t="s">
        <v>656</v>
      </c>
      <c r="D53" s="101" t="s">
        <v>657</v>
      </c>
      <c r="E53" s="101" t="s">
        <v>658</v>
      </c>
    </row>
    <row r="54" spans="1:5" hidden="1" x14ac:dyDescent="0.25">
      <c r="A54"/>
    </row>
    <row r="55" spans="1:5" ht="17.25" hidden="1" x14ac:dyDescent="0.25">
      <c r="A55" t="str">
        <f>"Code==DNK"</f>
        <v>Code==DNK</v>
      </c>
      <c r="B55" s="132" t="s">
        <v>859</v>
      </c>
      <c r="C55" s="132" t="s">
        <v>860</v>
      </c>
      <c r="D55" s="132" t="s">
        <v>861</v>
      </c>
      <c r="E55" s="101" t="s">
        <v>28</v>
      </c>
    </row>
    <row r="56" spans="1:5" hidden="1" x14ac:dyDescent="0.25">
      <c r="A56" t="str">
        <f>""</f>
        <v/>
      </c>
      <c r="B56" s="101" t="s">
        <v>659</v>
      </c>
      <c r="C56" s="101" t="s">
        <v>660</v>
      </c>
      <c r="D56" s="101" t="s">
        <v>661</v>
      </c>
      <c r="E56" s="101" t="s">
        <v>28</v>
      </c>
    </row>
    <row r="57" spans="1:5" hidden="1" x14ac:dyDescent="0.25">
      <c r="A57"/>
    </row>
    <row r="58" spans="1:5" ht="17.25" hidden="1" x14ac:dyDescent="0.25">
      <c r="A58" t="str">
        <f>"Code==ESP"</f>
        <v>Code==ESP</v>
      </c>
      <c r="B58" s="132" t="s">
        <v>862</v>
      </c>
      <c r="C58" s="132" t="s">
        <v>863</v>
      </c>
      <c r="D58" s="132" t="s">
        <v>864</v>
      </c>
      <c r="E58" s="101" t="s">
        <v>28</v>
      </c>
    </row>
    <row r="59" spans="1:5" hidden="1" x14ac:dyDescent="0.25">
      <c r="A59" t="str">
        <f>""</f>
        <v/>
      </c>
      <c r="B59" s="101" t="s">
        <v>526</v>
      </c>
      <c r="C59" s="101" t="s">
        <v>662</v>
      </c>
      <c r="D59" s="101" t="s">
        <v>663</v>
      </c>
      <c r="E59" s="101" t="s">
        <v>28</v>
      </c>
    </row>
    <row r="60" spans="1:5" hidden="1" x14ac:dyDescent="0.25">
      <c r="A60"/>
    </row>
    <row r="61" spans="1:5" ht="17.25" hidden="1" x14ac:dyDescent="0.25">
      <c r="A61" t="str">
        <f>"Code==EST"</f>
        <v>Code==EST</v>
      </c>
      <c r="B61" s="132" t="s">
        <v>865</v>
      </c>
      <c r="C61" s="132" t="s">
        <v>866</v>
      </c>
      <c r="D61" s="132" t="s">
        <v>867</v>
      </c>
      <c r="E61" s="101" t="s">
        <v>28</v>
      </c>
    </row>
    <row r="62" spans="1:5" hidden="1" x14ac:dyDescent="0.25">
      <c r="A62" t="str">
        <f>""</f>
        <v/>
      </c>
      <c r="B62" s="101" t="s">
        <v>664</v>
      </c>
      <c r="C62" s="101" t="s">
        <v>665</v>
      </c>
      <c r="D62" s="101" t="s">
        <v>666</v>
      </c>
      <c r="E62" s="101" t="s">
        <v>28</v>
      </c>
    </row>
    <row r="63" spans="1:5" hidden="1" x14ac:dyDescent="0.25">
      <c r="A63"/>
    </row>
    <row r="64" spans="1:5" hidden="1" x14ac:dyDescent="0.25">
      <c r="A64" t="str">
        <f>"Code==FIN"</f>
        <v>Code==FIN</v>
      </c>
      <c r="B64" s="101" t="s">
        <v>28</v>
      </c>
      <c r="C64" s="101" t="s">
        <v>28</v>
      </c>
      <c r="D64" s="101" t="s">
        <v>28</v>
      </c>
      <c r="E64" s="101" t="s">
        <v>28</v>
      </c>
    </row>
    <row r="65" spans="1:5" hidden="1" x14ac:dyDescent="0.25">
      <c r="A65" t="str">
        <f>""</f>
        <v/>
      </c>
      <c r="B65" s="101" t="s">
        <v>28</v>
      </c>
      <c r="C65" s="101" t="s">
        <v>28</v>
      </c>
      <c r="D65" s="101" t="s">
        <v>28</v>
      </c>
      <c r="E65" s="101" t="s">
        <v>28</v>
      </c>
    </row>
    <row r="66" spans="1:5" hidden="1" x14ac:dyDescent="0.25">
      <c r="A66"/>
    </row>
    <row r="67" spans="1:5" ht="17.25" hidden="1" x14ac:dyDescent="0.25">
      <c r="A67" t="str">
        <f>"Code==FRA"</f>
        <v>Code==FRA</v>
      </c>
      <c r="B67" s="132" t="s">
        <v>868</v>
      </c>
      <c r="C67" s="132" t="s">
        <v>869</v>
      </c>
      <c r="D67" s="132" t="s">
        <v>870</v>
      </c>
      <c r="E67" s="101" t="s">
        <v>28</v>
      </c>
    </row>
    <row r="68" spans="1:5" hidden="1" x14ac:dyDescent="0.25">
      <c r="A68" t="str">
        <f>""</f>
        <v/>
      </c>
      <c r="B68" s="101" t="s">
        <v>667</v>
      </c>
      <c r="C68" s="101" t="s">
        <v>668</v>
      </c>
      <c r="D68" s="101" t="s">
        <v>669</v>
      </c>
      <c r="E68" s="101" t="s">
        <v>28</v>
      </c>
    </row>
    <row r="69" spans="1:5" hidden="1" x14ac:dyDescent="0.25">
      <c r="A69"/>
    </row>
    <row r="70" spans="1:5" ht="17.25" hidden="1" x14ac:dyDescent="0.25">
      <c r="A70" t="str">
        <f>"Code==GBR"</f>
        <v>Code==GBR</v>
      </c>
      <c r="B70" s="132" t="s">
        <v>871</v>
      </c>
      <c r="C70" s="101" t="s">
        <v>670</v>
      </c>
      <c r="D70" s="132" t="s">
        <v>872</v>
      </c>
      <c r="E70" s="132" t="s">
        <v>873</v>
      </c>
    </row>
    <row r="71" spans="1:5" hidden="1" x14ac:dyDescent="0.25">
      <c r="A71" t="str">
        <f>""</f>
        <v/>
      </c>
      <c r="B71" s="101" t="s">
        <v>671</v>
      </c>
      <c r="C71" s="101" t="s">
        <v>537</v>
      </c>
      <c r="D71" s="101" t="s">
        <v>672</v>
      </c>
      <c r="E71" s="101" t="s">
        <v>673</v>
      </c>
    </row>
    <row r="72" spans="1:5" hidden="1" x14ac:dyDescent="0.25">
      <c r="A72"/>
    </row>
    <row r="73" spans="1:5" ht="17.25" hidden="1" x14ac:dyDescent="0.25">
      <c r="A73" t="str">
        <f>"Code==GEO"</f>
        <v>Code==GEO</v>
      </c>
      <c r="B73" s="132" t="s">
        <v>874</v>
      </c>
      <c r="C73" s="132" t="s">
        <v>875</v>
      </c>
      <c r="D73" s="132" t="s">
        <v>876</v>
      </c>
      <c r="E73" s="101" t="s">
        <v>28</v>
      </c>
    </row>
    <row r="74" spans="1:5" hidden="1" x14ac:dyDescent="0.25">
      <c r="A74" t="str">
        <f>""</f>
        <v/>
      </c>
      <c r="B74" s="101" t="s">
        <v>674</v>
      </c>
      <c r="C74" s="101" t="s">
        <v>675</v>
      </c>
      <c r="D74" s="101" t="s">
        <v>676</v>
      </c>
      <c r="E74" s="101" t="s">
        <v>28</v>
      </c>
    </row>
    <row r="75" spans="1:5" hidden="1" x14ac:dyDescent="0.25">
      <c r="A75"/>
    </row>
    <row r="76" spans="1:5" ht="17.25" hidden="1" x14ac:dyDescent="0.25">
      <c r="A76" t="str">
        <f>"Code==GHA"</f>
        <v>Code==GHA</v>
      </c>
      <c r="B76" s="132" t="s">
        <v>877</v>
      </c>
      <c r="C76" s="132" t="s">
        <v>878</v>
      </c>
      <c r="D76" s="132" t="s">
        <v>879</v>
      </c>
      <c r="E76" s="101" t="s">
        <v>28</v>
      </c>
    </row>
    <row r="77" spans="1:5" hidden="1" x14ac:dyDescent="0.25">
      <c r="A77" t="str">
        <f>""</f>
        <v/>
      </c>
      <c r="B77" s="101" t="s">
        <v>677</v>
      </c>
      <c r="C77" s="101" t="s">
        <v>551</v>
      </c>
      <c r="D77" s="101" t="s">
        <v>678</v>
      </c>
      <c r="E77" s="101" t="s">
        <v>28</v>
      </c>
    </row>
    <row r="78" spans="1:5" hidden="1" x14ac:dyDescent="0.25">
      <c r="A78"/>
    </row>
    <row r="79" spans="1:5" ht="17.25" hidden="1" x14ac:dyDescent="0.25">
      <c r="A79" t="str">
        <f>"Code==GRC"</f>
        <v>Code==GRC</v>
      </c>
      <c r="B79" s="132" t="s">
        <v>880</v>
      </c>
      <c r="C79" s="132" t="s">
        <v>881</v>
      </c>
      <c r="D79" s="132" t="s">
        <v>882</v>
      </c>
      <c r="E79" s="101" t="s">
        <v>28</v>
      </c>
    </row>
    <row r="80" spans="1:5" hidden="1" x14ac:dyDescent="0.25">
      <c r="A80" t="str">
        <f>""</f>
        <v/>
      </c>
      <c r="B80" s="101" t="s">
        <v>679</v>
      </c>
      <c r="C80" s="101" t="s">
        <v>680</v>
      </c>
      <c r="D80" s="101" t="s">
        <v>681</v>
      </c>
      <c r="E80" s="101" t="s">
        <v>28</v>
      </c>
    </row>
    <row r="81" spans="1:5" hidden="1" x14ac:dyDescent="0.25">
      <c r="A81"/>
    </row>
    <row r="82" spans="1:5" ht="17.25" hidden="1" x14ac:dyDescent="0.25">
      <c r="A82" t="str">
        <f>"Code==HRV"</f>
        <v>Code==HRV</v>
      </c>
      <c r="B82" s="132" t="s">
        <v>883</v>
      </c>
      <c r="C82" s="101" t="s">
        <v>682</v>
      </c>
      <c r="D82" s="132" t="s">
        <v>884</v>
      </c>
      <c r="E82" s="101" t="s">
        <v>28</v>
      </c>
    </row>
    <row r="83" spans="1:5" hidden="1" x14ac:dyDescent="0.25">
      <c r="A83" t="str">
        <f>""</f>
        <v/>
      </c>
      <c r="B83" s="101" t="s">
        <v>683</v>
      </c>
      <c r="C83" s="101" t="s">
        <v>684</v>
      </c>
      <c r="D83" s="101" t="s">
        <v>259</v>
      </c>
      <c r="E83" s="101" t="s">
        <v>28</v>
      </c>
    </row>
    <row r="84" spans="1:5" hidden="1" x14ac:dyDescent="0.25">
      <c r="A84"/>
    </row>
    <row r="85" spans="1:5" ht="17.25" hidden="1" x14ac:dyDescent="0.25">
      <c r="A85" t="str">
        <f>"Code==HUN"</f>
        <v>Code==HUN</v>
      </c>
      <c r="B85" s="132" t="s">
        <v>885</v>
      </c>
      <c r="C85" s="132" t="s">
        <v>886</v>
      </c>
      <c r="D85" s="132" t="s">
        <v>887</v>
      </c>
      <c r="E85" s="132" t="s">
        <v>888</v>
      </c>
    </row>
    <row r="86" spans="1:5" hidden="1" x14ac:dyDescent="0.25">
      <c r="A86" t="str">
        <f>""</f>
        <v/>
      </c>
      <c r="B86" s="101" t="s">
        <v>685</v>
      </c>
      <c r="C86" s="101" t="s">
        <v>686</v>
      </c>
      <c r="D86" s="101" t="s">
        <v>687</v>
      </c>
      <c r="E86" s="101" t="s">
        <v>688</v>
      </c>
    </row>
    <row r="87" spans="1:5" hidden="1" x14ac:dyDescent="0.25">
      <c r="A87"/>
    </row>
    <row r="88" spans="1:5" ht="17.25" hidden="1" x14ac:dyDescent="0.25">
      <c r="A88" t="str">
        <f>"Code==IND"</f>
        <v>Code==IND</v>
      </c>
      <c r="B88" s="132" t="s">
        <v>889</v>
      </c>
      <c r="C88" s="132" t="s">
        <v>890</v>
      </c>
      <c r="D88" s="132" t="s">
        <v>891</v>
      </c>
      <c r="E88" s="101" t="s">
        <v>28</v>
      </c>
    </row>
    <row r="89" spans="1:5" hidden="1" x14ac:dyDescent="0.25">
      <c r="A89" t="str">
        <f>""</f>
        <v/>
      </c>
      <c r="B89" s="101" t="s">
        <v>689</v>
      </c>
      <c r="C89" s="101" t="s">
        <v>524</v>
      </c>
      <c r="D89" s="101" t="s">
        <v>690</v>
      </c>
      <c r="E89" s="101" t="s">
        <v>28</v>
      </c>
    </row>
    <row r="90" spans="1:5" hidden="1" x14ac:dyDescent="0.25">
      <c r="A90"/>
    </row>
    <row r="91" spans="1:5" ht="17.25" hidden="1" x14ac:dyDescent="0.25">
      <c r="A91" t="str">
        <f>"Code==IRL"</f>
        <v>Code==IRL</v>
      </c>
      <c r="B91" s="101" t="s">
        <v>691</v>
      </c>
      <c r="C91" s="132" t="s">
        <v>892</v>
      </c>
      <c r="D91" s="132" t="s">
        <v>893</v>
      </c>
      <c r="E91" s="101" t="s">
        <v>28</v>
      </c>
    </row>
    <row r="92" spans="1:5" hidden="1" x14ac:dyDescent="0.25">
      <c r="A92" t="str">
        <f>""</f>
        <v/>
      </c>
      <c r="B92" s="101" t="s">
        <v>692</v>
      </c>
      <c r="C92" s="101" t="s">
        <v>261</v>
      </c>
      <c r="D92" s="101" t="s">
        <v>520</v>
      </c>
      <c r="E92" s="101" t="s">
        <v>28</v>
      </c>
    </row>
    <row r="93" spans="1:5" hidden="1" x14ac:dyDescent="0.25">
      <c r="A93"/>
    </row>
    <row r="94" spans="1:5" ht="17.25" hidden="1" x14ac:dyDescent="0.25">
      <c r="A94" t="str">
        <f>"Code==ITA"</f>
        <v>Code==ITA</v>
      </c>
      <c r="B94" s="132" t="s">
        <v>894</v>
      </c>
      <c r="C94" s="132" t="s">
        <v>895</v>
      </c>
      <c r="D94" s="132" t="s">
        <v>896</v>
      </c>
      <c r="E94" s="101" t="s">
        <v>28</v>
      </c>
    </row>
    <row r="95" spans="1:5" hidden="1" x14ac:dyDescent="0.25">
      <c r="A95" t="str">
        <f>""</f>
        <v/>
      </c>
      <c r="B95" s="101" t="s">
        <v>528</v>
      </c>
      <c r="C95" s="101" t="s">
        <v>693</v>
      </c>
      <c r="D95" s="101" t="s">
        <v>694</v>
      </c>
      <c r="E95" s="101" t="s">
        <v>28</v>
      </c>
    </row>
    <row r="96" spans="1:5" hidden="1" x14ac:dyDescent="0.25">
      <c r="A96"/>
    </row>
    <row r="97" spans="1:5" ht="17.25" hidden="1" x14ac:dyDescent="0.25">
      <c r="A97" t="str">
        <f>"Code==JOR"</f>
        <v>Code==JOR</v>
      </c>
      <c r="B97" s="132" t="s">
        <v>897</v>
      </c>
      <c r="C97" s="132" t="s">
        <v>898</v>
      </c>
      <c r="D97" s="132" t="s">
        <v>899</v>
      </c>
      <c r="E97" s="101" t="s">
        <v>28</v>
      </c>
    </row>
    <row r="98" spans="1:5" hidden="1" x14ac:dyDescent="0.25">
      <c r="A98" t="str">
        <f>""</f>
        <v/>
      </c>
      <c r="B98" s="101" t="s">
        <v>695</v>
      </c>
      <c r="C98" s="101" t="s">
        <v>527</v>
      </c>
      <c r="D98" s="101" t="s">
        <v>696</v>
      </c>
      <c r="E98" s="101" t="s">
        <v>28</v>
      </c>
    </row>
    <row r="99" spans="1:5" hidden="1" x14ac:dyDescent="0.25">
      <c r="A99"/>
    </row>
    <row r="100" spans="1:5" ht="17.25" hidden="1" x14ac:dyDescent="0.25">
      <c r="A100" t="str">
        <f>"Code==JPN"</f>
        <v>Code==JPN</v>
      </c>
      <c r="B100" s="132" t="s">
        <v>900</v>
      </c>
      <c r="C100" s="132" t="s">
        <v>901</v>
      </c>
      <c r="D100" s="132" t="s">
        <v>902</v>
      </c>
      <c r="E100" s="101" t="s">
        <v>28</v>
      </c>
    </row>
    <row r="101" spans="1:5" hidden="1" x14ac:dyDescent="0.25">
      <c r="A101" t="str">
        <f>""</f>
        <v/>
      </c>
      <c r="B101" s="101" t="s">
        <v>697</v>
      </c>
      <c r="C101" s="101" t="s">
        <v>559</v>
      </c>
      <c r="D101" s="101" t="s">
        <v>698</v>
      </c>
      <c r="E101" s="101" t="s">
        <v>28</v>
      </c>
    </row>
    <row r="102" spans="1:5" hidden="1" x14ac:dyDescent="0.25">
      <c r="A102"/>
    </row>
    <row r="103" spans="1:5" hidden="1" x14ac:dyDescent="0.25">
      <c r="A103" t="str">
        <f>"Code==KAZ"</f>
        <v>Code==KAZ</v>
      </c>
      <c r="B103" s="101" t="s">
        <v>28</v>
      </c>
      <c r="C103" s="101" t="s">
        <v>28</v>
      </c>
      <c r="D103" s="101" t="s">
        <v>28</v>
      </c>
      <c r="E103" s="101" t="s">
        <v>28</v>
      </c>
    </row>
    <row r="104" spans="1:5" hidden="1" x14ac:dyDescent="0.25">
      <c r="A104" t="str">
        <f>""</f>
        <v/>
      </c>
      <c r="B104" s="101" t="s">
        <v>28</v>
      </c>
      <c r="C104" s="101" t="s">
        <v>28</v>
      </c>
      <c r="D104" s="101" t="s">
        <v>28</v>
      </c>
      <c r="E104" s="101" t="s">
        <v>28</v>
      </c>
    </row>
    <row r="105" spans="1:5" hidden="1" x14ac:dyDescent="0.25">
      <c r="A105"/>
    </row>
    <row r="106" spans="1:5" ht="17.25" hidden="1" x14ac:dyDescent="0.25">
      <c r="A106" t="str">
        <f>"Code==KHM"</f>
        <v>Code==KHM</v>
      </c>
      <c r="B106" s="132" t="s">
        <v>903</v>
      </c>
      <c r="C106" s="132" t="s">
        <v>904</v>
      </c>
      <c r="D106" s="132" t="s">
        <v>905</v>
      </c>
      <c r="E106" s="132" t="s">
        <v>906</v>
      </c>
    </row>
    <row r="107" spans="1:5" hidden="1" x14ac:dyDescent="0.25">
      <c r="A107" t="str">
        <f>""</f>
        <v/>
      </c>
      <c r="B107" s="101" t="s">
        <v>547</v>
      </c>
      <c r="C107" s="101" t="s">
        <v>699</v>
      </c>
      <c r="D107" s="101" t="s">
        <v>700</v>
      </c>
      <c r="E107" s="101" t="s">
        <v>701</v>
      </c>
    </row>
    <row r="108" spans="1:5" hidden="1" x14ac:dyDescent="0.25">
      <c r="A108"/>
    </row>
    <row r="109" spans="1:5" ht="17.25" hidden="1" x14ac:dyDescent="0.25">
      <c r="A109" t="str">
        <f>"Code==LAO"</f>
        <v>Code==LAO</v>
      </c>
      <c r="B109" s="132" t="s">
        <v>907</v>
      </c>
      <c r="C109" s="132" t="s">
        <v>908</v>
      </c>
      <c r="D109" s="132" t="s">
        <v>909</v>
      </c>
      <c r="E109" s="101" t="s">
        <v>28</v>
      </c>
    </row>
    <row r="110" spans="1:5" hidden="1" x14ac:dyDescent="0.25">
      <c r="A110" t="str">
        <f>""</f>
        <v/>
      </c>
      <c r="B110" s="101" t="s">
        <v>702</v>
      </c>
      <c r="C110" s="101" t="s">
        <v>548</v>
      </c>
      <c r="D110" s="101" t="s">
        <v>703</v>
      </c>
      <c r="E110" s="101" t="s">
        <v>28</v>
      </c>
    </row>
    <row r="111" spans="1:5" hidden="1" x14ac:dyDescent="0.25">
      <c r="A111"/>
    </row>
    <row r="112" spans="1:5" ht="17.25" hidden="1" x14ac:dyDescent="0.25">
      <c r="A112" t="str">
        <f>"Code==LKA"</f>
        <v>Code==LKA</v>
      </c>
      <c r="B112" s="132" t="s">
        <v>910</v>
      </c>
      <c r="C112" s="101" t="s">
        <v>704</v>
      </c>
      <c r="D112" s="101" t="s">
        <v>705</v>
      </c>
      <c r="E112" s="132" t="s">
        <v>911</v>
      </c>
    </row>
    <row r="113" spans="1:5" hidden="1" x14ac:dyDescent="0.25">
      <c r="A113" t="str">
        <f>""</f>
        <v/>
      </c>
      <c r="B113" s="101" t="s">
        <v>642</v>
      </c>
      <c r="C113" s="101" t="s">
        <v>706</v>
      </c>
      <c r="D113" s="101" t="s">
        <v>707</v>
      </c>
      <c r="E113" s="101" t="s">
        <v>535</v>
      </c>
    </row>
    <row r="114" spans="1:5" hidden="1" x14ac:dyDescent="0.25">
      <c r="A114"/>
    </row>
    <row r="115" spans="1:5" ht="17.25" hidden="1" x14ac:dyDescent="0.25">
      <c r="A115" t="str">
        <f>"Code==LTU"</f>
        <v>Code==LTU</v>
      </c>
      <c r="B115" s="132" t="s">
        <v>912</v>
      </c>
      <c r="C115" s="132" t="s">
        <v>913</v>
      </c>
      <c r="D115" s="132" t="s">
        <v>914</v>
      </c>
      <c r="E115" s="132" t="s">
        <v>915</v>
      </c>
    </row>
    <row r="116" spans="1:5" hidden="1" x14ac:dyDescent="0.25">
      <c r="A116" t="str">
        <f>""</f>
        <v/>
      </c>
      <c r="B116" s="101" t="s">
        <v>708</v>
      </c>
      <c r="C116" s="101" t="s">
        <v>709</v>
      </c>
      <c r="D116" s="101" t="s">
        <v>541</v>
      </c>
      <c r="E116" s="101" t="s">
        <v>710</v>
      </c>
    </row>
    <row r="117" spans="1:5" hidden="1" x14ac:dyDescent="0.25">
      <c r="A117"/>
    </row>
    <row r="118" spans="1:5" ht="17.25" hidden="1" x14ac:dyDescent="0.25">
      <c r="A118" t="str">
        <f>"Code==LVA"</f>
        <v>Code==LVA</v>
      </c>
      <c r="B118" s="132" t="s">
        <v>916</v>
      </c>
      <c r="C118" s="101" t="s">
        <v>28</v>
      </c>
      <c r="D118" s="101" t="s">
        <v>28</v>
      </c>
      <c r="E118" s="101" t="s">
        <v>28</v>
      </c>
    </row>
    <row r="119" spans="1:5" hidden="1" x14ac:dyDescent="0.25">
      <c r="A119" t="str">
        <f>""</f>
        <v/>
      </c>
      <c r="B119" s="101" t="s">
        <v>711</v>
      </c>
      <c r="C119" s="101" t="s">
        <v>28</v>
      </c>
      <c r="D119" s="101" t="s">
        <v>28</v>
      </c>
      <c r="E119" s="101" t="s">
        <v>28</v>
      </c>
    </row>
    <row r="120" spans="1:5" hidden="1" x14ac:dyDescent="0.25">
      <c r="A120"/>
    </row>
    <row r="121" spans="1:5" ht="17.25" hidden="1" x14ac:dyDescent="0.25">
      <c r="A121" t="str">
        <f>"Code==MAR"</f>
        <v>Code==MAR</v>
      </c>
      <c r="B121" s="101" t="s">
        <v>712</v>
      </c>
      <c r="C121" s="132" t="s">
        <v>917</v>
      </c>
      <c r="D121" s="101" t="s">
        <v>713</v>
      </c>
      <c r="E121" s="101" t="s">
        <v>714</v>
      </c>
    </row>
    <row r="122" spans="1:5" hidden="1" x14ac:dyDescent="0.25">
      <c r="A122" t="str">
        <f>""</f>
        <v/>
      </c>
      <c r="B122" s="101" t="s">
        <v>715</v>
      </c>
      <c r="C122" s="101" t="s">
        <v>673</v>
      </c>
      <c r="D122" s="101" t="s">
        <v>716</v>
      </c>
      <c r="E122" s="101" t="s">
        <v>717</v>
      </c>
    </row>
    <row r="123" spans="1:5" hidden="1" x14ac:dyDescent="0.25">
      <c r="A123"/>
    </row>
    <row r="124" spans="1:5" ht="17.25" hidden="1" x14ac:dyDescent="0.25">
      <c r="A124" t="str">
        <f>"Code==MDA"</f>
        <v>Code==MDA</v>
      </c>
      <c r="B124" s="132" t="s">
        <v>918</v>
      </c>
      <c r="C124" s="132" t="s">
        <v>919</v>
      </c>
      <c r="D124" s="132" t="s">
        <v>920</v>
      </c>
      <c r="E124" s="132" t="s">
        <v>921</v>
      </c>
    </row>
    <row r="125" spans="1:5" hidden="1" x14ac:dyDescent="0.25">
      <c r="A125" t="str">
        <f>""</f>
        <v/>
      </c>
      <c r="B125" s="101" t="s">
        <v>540</v>
      </c>
      <c r="C125" s="101" t="s">
        <v>718</v>
      </c>
      <c r="D125" s="101" t="s">
        <v>719</v>
      </c>
      <c r="E125" s="101" t="s">
        <v>720</v>
      </c>
    </row>
    <row r="126" spans="1:5" hidden="1" x14ac:dyDescent="0.25">
      <c r="A126"/>
    </row>
    <row r="127" spans="1:5" ht="17.25" hidden="1" x14ac:dyDescent="0.25">
      <c r="A127" t="str">
        <f>"Code==MDG"</f>
        <v>Code==MDG</v>
      </c>
      <c r="B127" s="132" t="s">
        <v>922</v>
      </c>
      <c r="C127" s="132" t="s">
        <v>923</v>
      </c>
      <c r="D127" s="132" t="s">
        <v>924</v>
      </c>
      <c r="E127" s="101" t="s">
        <v>721</v>
      </c>
    </row>
    <row r="128" spans="1:5" hidden="1" x14ac:dyDescent="0.25">
      <c r="A128" t="str">
        <f>""</f>
        <v/>
      </c>
      <c r="B128" s="101" t="s">
        <v>643</v>
      </c>
      <c r="C128" s="101" t="s">
        <v>722</v>
      </c>
      <c r="D128" s="101" t="s">
        <v>723</v>
      </c>
      <c r="E128" s="101" t="s">
        <v>549</v>
      </c>
    </row>
    <row r="129" spans="1:5" hidden="1" x14ac:dyDescent="0.25">
      <c r="A129"/>
    </row>
    <row r="130" spans="1:5" ht="17.25" hidden="1" x14ac:dyDescent="0.25">
      <c r="A130" t="str">
        <f>"Code==MEX"</f>
        <v>Code==MEX</v>
      </c>
      <c r="B130" s="132" t="s">
        <v>925</v>
      </c>
      <c r="C130" s="132" t="s">
        <v>926</v>
      </c>
      <c r="D130" s="132" t="s">
        <v>927</v>
      </c>
      <c r="E130" s="132" t="s">
        <v>928</v>
      </c>
    </row>
    <row r="131" spans="1:5" hidden="1" x14ac:dyDescent="0.25">
      <c r="A131" t="str">
        <f>""</f>
        <v/>
      </c>
      <c r="B131" s="101" t="s">
        <v>656</v>
      </c>
      <c r="C131" s="101" t="s">
        <v>724</v>
      </c>
      <c r="D131" s="101" t="s">
        <v>725</v>
      </c>
      <c r="E131" s="101" t="s">
        <v>550</v>
      </c>
    </row>
    <row r="132" spans="1:5" hidden="1" x14ac:dyDescent="0.25">
      <c r="A132"/>
    </row>
    <row r="133" spans="1:5" ht="17.25" hidden="1" x14ac:dyDescent="0.25">
      <c r="A133" t="str">
        <f>"Code==MKD"</f>
        <v>Code==MKD</v>
      </c>
      <c r="B133" s="101" t="s">
        <v>28</v>
      </c>
      <c r="C133" s="101" t="s">
        <v>726</v>
      </c>
      <c r="D133" s="132" t="s">
        <v>929</v>
      </c>
      <c r="E133" s="101" t="s">
        <v>28</v>
      </c>
    </row>
    <row r="134" spans="1:5" hidden="1" x14ac:dyDescent="0.25">
      <c r="A134" t="str">
        <f>""</f>
        <v/>
      </c>
      <c r="B134" s="101" t="s">
        <v>28</v>
      </c>
      <c r="C134" s="101" t="s">
        <v>727</v>
      </c>
      <c r="D134" s="101" t="s">
        <v>523</v>
      </c>
      <c r="E134" s="101" t="s">
        <v>28</v>
      </c>
    </row>
    <row r="135" spans="1:5" hidden="1" x14ac:dyDescent="0.25">
      <c r="A135"/>
    </row>
    <row r="136" spans="1:5" ht="17.25" hidden="1" x14ac:dyDescent="0.25">
      <c r="A136" t="str">
        <f>"Code==MNG"</f>
        <v>Code==MNG</v>
      </c>
      <c r="B136" s="101" t="s">
        <v>28</v>
      </c>
      <c r="C136" s="101" t="s">
        <v>28</v>
      </c>
      <c r="D136" s="132" t="s">
        <v>930</v>
      </c>
      <c r="E136" s="101" t="s">
        <v>28</v>
      </c>
    </row>
    <row r="137" spans="1:5" hidden="1" x14ac:dyDescent="0.25">
      <c r="A137" t="str">
        <f>""</f>
        <v/>
      </c>
      <c r="B137" s="101" t="s">
        <v>28</v>
      </c>
      <c r="C137" s="101" t="s">
        <v>28</v>
      </c>
      <c r="D137" s="101" t="s">
        <v>728</v>
      </c>
      <c r="E137" s="101" t="s">
        <v>28</v>
      </c>
    </row>
    <row r="138" spans="1:5" hidden="1" x14ac:dyDescent="0.25">
      <c r="A138"/>
    </row>
    <row r="139" spans="1:5" ht="17.25" hidden="1" x14ac:dyDescent="0.25">
      <c r="A139" t="str">
        <f>"Code==MOZ"</f>
        <v>Code==MOZ</v>
      </c>
      <c r="B139" s="132" t="s">
        <v>931</v>
      </c>
      <c r="C139" s="101" t="s">
        <v>28</v>
      </c>
      <c r="D139" s="101" t="s">
        <v>28</v>
      </c>
      <c r="E139" s="101" t="s">
        <v>28</v>
      </c>
    </row>
    <row r="140" spans="1:5" hidden="1" x14ac:dyDescent="0.25">
      <c r="A140" t="str">
        <f>""</f>
        <v/>
      </c>
      <c r="B140" s="101" t="s">
        <v>729</v>
      </c>
      <c r="C140" s="101" t="s">
        <v>28</v>
      </c>
      <c r="D140" s="101" t="s">
        <v>28</v>
      </c>
      <c r="E140" s="101" t="s">
        <v>28</v>
      </c>
    </row>
    <row r="141" spans="1:5" hidden="1" x14ac:dyDescent="0.25">
      <c r="A141"/>
    </row>
    <row r="142" spans="1:5" ht="17.25" hidden="1" x14ac:dyDescent="0.25">
      <c r="A142" t="str">
        <f>"Code==MYS"</f>
        <v>Code==MYS</v>
      </c>
      <c r="B142" s="101" t="s">
        <v>28</v>
      </c>
      <c r="C142" s="132" t="s">
        <v>932</v>
      </c>
      <c r="D142" s="132" t="s">
        <v>933</v>
      </c>
      <c r="E142" s="101" t="s">
        <v>730</v>
      </c>
    </row>
    <row r="143" spans="1:5" hidden="1" x14ac:dyDescent="0.25">
      <c r="A143" t="str">
        <f>""</f>
        <v/>
      </c>
      <c r="B143" s="101" t="s">
        <v>28</v>
      </c>
      <c r="C143" s="101" t="s">
        <v>544</v>
      </c>
      <c r="D143" s="101" t="s">
        <v>731</v>
      </c>
      <c r="E143" s="101" t="s">
        <v>732</v>
      </c>
    </row>
    <row r="144" spans="1:5" hidden="1" x14ac:dyDescent="0.25">
      <c r="A144"/>
    </row>
    <row r="145" spans="1:5" ht="17.25" hidden="1" x14ac:dyDescent="0.25">
      <c r="A145" t="str">
        <f>"Code==NLD"</f>
        <v>Code==NLD</v>
      </c>
      <c r="B145" s="132" t="s">
        <v>934</v>
      </c>
      <c r="C145" s="132" t="s">
        <v>553</v>
      </c>
      <c r="D145" s="132" t="s">
        <v>935</v>
      </c>
      <c r="E145" s="132" t="s">
        <v>936</v>
      </c>
    </row>
    <row r="146" spans="1:5" hidden="1" x14ac:dyDescent="0.25">
      <c r="A146" t="str">
        <f>""</f>
        <v/>
      </c>
      <c r="B146" s="101" t="s">
        <v>537</v>
      </c>
      <c r="C146" s="101" t="s">
        <v>733</v>
      </c>
      <c r="D146" s="101" t="s">
        <v>734</v>
      </c>
      <c r="E146" s="101" t="s">
        <v>735</v>
      </c>
    </row>
    <row r="147" spans="1:5" hidden="1" x14ac:dyDescent="0.25">
      <c r="A147"/>
    </row>
    <row r="148" spans="1:5" ht="17.25" hidden="1" x14ac:dyDescent="0.25">
      <c r="A148" t="str">
        <f>"Code==NOR"</f>
        <v>Code==NOR</v>
      </c>
      <c r="B148" s="132" t="s">
        <v>937</v>
      </c>
      <c r="C148" s="132" t="s">
        <v>938</v>
      </c>
      <c r="D148" s="132" t="s">
        <v>939</v>
      </c>
      <c r="E148" s="101" t="s">
        <v>736</v>
      </c>
    </row>
    <row r="149" spans="1:5" hidden="1" x14ac:dyDescent="0.25">
      <c r="A149" t="str">
        <f>""</f>
        <v/>
      </c>
      <c r="B149" s="101" t="s">
        <v>737</v>
      </c>
      <c r="C149" s="101" t="s">
        <v>552</v>
      </c>
      <c r="D149" s="101" t="s">
        <v>738</v>
      </c>
      <c r="E149" s="101" t="s">
        <v>739</v>
      </c>
    </row>
    <row r="150" spans="1:5" hidden="1" x14ac:dyDescent="0.25">
      <c r="A150"/>
    </row>
    <row r="151" spans="1:5" ht="17.25" hidden="1" x14ac:dyDescent="0.25">
      <c r="A151" t="str">
        <f>"Code==NPL"</f>
        <v>Code==NPL</v>
      </c>
      <c r="B151" s="132" t="s">
        <v>940</v>
      </c>
      <c r="C151" s="132" t="s">
        <v>941</v>
      </c>
      <c r="D151" s="132" t="s">
        <v>942</v>
      </c>
      <c r="E151" s="132" t="s">
        <v>943</v>
      </c>
    </row>
    <row r="152" spans="1:5" hidden="1" x14ac:dyDescent="0.25">
      <c r="A152" t="str">
        <f>""</f>
        <v/>
      </c>
      <c r="B152" s="101" t="s">
        <v>740</v>
      </c>
      <c r="C152" s="101" t="s">
        <v>741</v>
      </c>
      <c r="D152" s="101" t="s">
        <v>742</v>
      </c>
      <c r="E152" s="101" t="s">
        <v>743</v>
      </c>
    </row>
    <row r="153" spans="1:5" hidden="1" x14ac:dyDescent="0.25">
      <c r="A153"/>
    </row>
    <row r="154" spans="1:5" ht="17.25" hidden="1" x14ac:dyDescent="0.25">
      <c r="A154" t="str">
        <f>"Code==NZL"</f>
        <v>Code==NZL</v>
      </c>
      <c r="B154" s="132" t="s">
        <v>944</v>
      </c>
      <c r="C154" s="132" t="s">
        <v>945</v>
      </c>
      <c r="D154" s="132" t="s">
        <v>946</v>
      </c>
      <c r="E154" s="101" t="s">
        <v>28</v>
      </c>
    </row>
    <row r="155" spans="1:5" hidden="1" x14ac:dyDescent="0.25">
      <c r="A155" t="str">
        <f>""</f>
        <v/>
      </c>
      <c r="B155" s="101" t="s">
        <v>744</v>
      </c>
      <c r="C155" s="101" t="s">
        <v>745</v>
      </c>
      <c r="D155" s="101" t="s">
        <v>746</v>
      </c>
      <c r="E155" s="101" t="s">
        <v>28</v>
      </c>
    </row>
    <row r="156" spans="1:5" hidden="1" x14ac:dyDescent="0.25">
      <c r="A156"/>
    </row>
    <row r="157" spans="1:5" ht="17.25" hidden="1" x14ac:dyDescent="0.25">
      <c r="A157" t="str">
        <f>"Code==PAK"</f>
        <v>Code==PAK</v>
      </c>
      <c r="B157" s="132" t="s">
        <v>947</v>
      </c>
      <c r="C157" s="101" t="s">
        <v>747</v>
      </c>
      <c r="D157" s="132" t="s">
        <v>948</v>
      </c>
      <c r="E157" s="101" t="s">
        <v>28</v>
      </c>
    </row>
    <row r="158" spans="1:5" hidden="1" x14ac:dyDescent="0.25">
      <c r="A158" t="str">
        <f>""</f>
        <v/>
      </c>
      <c r="B158" s="101" t="s">
        <v>744</v>
      </c>
      <c r="C158" s="101" t="s">
        <v>748</v>
      </c>
      <c r="D158" s="101" t="s">
        <v>749</v>
      </c>
      <c r="E158" s="101" t="s">
        <v>28</v>
      </c>
    </row>
    <row r="159" spans="1:5" hidden="1" x14ac:dyDescent="0.25">
      <c r="A159"/>
    </row>
    <row r="160" spans="1:5" ht="17.25" hidden="1" x14ac:dyDescent="0.25">
      <c r="A160" t="str">
        <f>"Code==PAN"</f>
        <v>Code==PAN</v>
      </c>
      <c r="B160" s="101" t="s">
        <v>750</v>
      </c>
      <c r="C160" s="132" t="s">
        <v>949</v>
      </c>
      <c r="D160" s="132" t="s">
        <v>950</v>
      </c>
      <c r="E160" s="132" t="s">
        <v>951</v>
      </c>
    </row>
    <row r="161" spans="1:5" hidden="1" x14ac:dyDescent="0.25">
      <c r="A161" t="str">
        <f>""</f>
        <v/>
      </c>
      <c r="B161" s="101" t="s">
        <v>684</v>
      </c>
      <c r="C161" s="101" t="s">
        <v>751</v>
      </c>
      <c r="D161" s="101" t="s">
        <v>561</v>
      </c>
      <c r="E161" s="101" t="s">
        <v>752</v>
      </c>
    </row>
    <row r="162" spans="1:5" hidden="1" x14ac:dyDescent="0.25">
      <c r="A162"/>
    </row>
    <row r="163" spans="1:5" ht="17.25" hidden="1" x14ac:dyDescent="0.25">
      <c r="A163" t="str">
        <f>"Code==PER"</f>
        <v>Code==PER</v>
      </c>
      <c r="B163" s="132" t="s">
        <v>952</v>
      </c>
      <c r="C163" s="132" t="s">
        <v>953</v>
      </c>
      <c r="D163" s="132" t="s">
        <v>954</v>
      </c>
      <c r="E163" s="132" t="s">
        <v>955</v>
      </c>
    </row>
    <row r="164" spans="1:5" hidden="1" x14ac:dyDescent="0.25">
      <c r="A164" t="str">
        <f>""</f>
        <v/>
      </c>
      <c r="B164" s="101" t="s">
        <v>753</v>
      </c>
      <c r="C164" s="101" t="s">
        <v>536</v>
      </c>
      <c r="D164" s="101" t="s">
        <v>754</v>
      </c>
      <c r="E164" s="101" t="s">
        <v>755</v>
      </c>
    </row>
    <row r="165" spans="1:5" hidden="1" x14ac:dyDescent="0.25">
      <c r="A165"/>
    </row>
    <row r="166" spans="1:5" ht="17.25" hidden="1" x14ac:dyDescent="0.25">
      <c r="A166" t="str">
        <f>"Code==PHL"</f>
        <v>Code==PHL</v>
      </c>
      <c r="B166" s="132" t="s">
        <v>956</v>
      </c>
      <c r="C166" s="132" t="s">
        <v>957</v>
      </c>
      <c r="D166" s="132" t="s">
        <v>958</v>
      </c>
      <c r="E166" s="101" t="s">
        <v>756</v>
      </c>
    </row>
    <row r="167" spans="1:5" hidden="1" x14ac:dyDescent="0.25">
      <c r="A167" t="str">
        <f>""</f>
        <v/>
      </c>
      <c r="B167" s="101" t="s">
        <v>649</v>
      </c>
      <c r="C167" s="101" t="s">
        <v>757</v>
      </c>
      <c r="D167" s="101" t="s">
        <v>258</v>
      </c>
      <c r="E167" s="101" t="s">
        <v>758</v>
      </c>
    </row>
    <row r="168" spans="1:5" hidden="1" x14ac:dyDescent="0.25">
      <c r="A168"/>
    </row>
    <row r="169" spans="1:5" ht="17.25" hidden="1" x14ac:dyDescent="0.25">
      <c r="A169" t="str">
        <f>"Code==POL"</f>
        <v>Code==POL</v>
      </c>
      <c r="B169" s="101" t="s">
        <v>28</v>
      </c>
      <c r="C169" s="101" t="s">
        <v>759</v>
      </c>
      <c r="D169" s="132" t="s">
        <v>959</v>
      </c>
      <c r="E169" s="132" t="s">
        <v>960</v>
      </c>
    </row>
    <row r="170" spans="1:5" hidden="1" x14ac:dyDescent="0.25">
      <c r="A170" t="str">
        <f>""</f>
        <v/>
      </c>
      <c r="B170" s="101" t="s">
        <v>28</v>
      </c>
      <c r="C170" s="101" t="s">
        <v>760</v>
      </c>
      <c r="D170" s="101" t="s">
        <v>761</v>
      </c>
      <c r="E170" s="101" t="s">
        <v>762</v>
      </c>
    </row>
    <row r="171" spans="1:5" hidden="1" x14ac:dyDescent="0.25">
      <c r="A171"/>
    </row>
    <row r="172" spans="1:5" ht="17.25" hidden="1" x14ac:dyDescent="0.25">
      <c r="A172" t="str">
        <f>"Code==PRT"</f>
        <v>Code==PRT</v>
      </c>
      <c r="B172" s="101" t="s">
        <v>763</v>
      </c>
      <c r="C172" s="132" t="s">
        <v>961</v>
      </c>
      <c r="D172" s="132" t="s">
        <v>962</v>
      </c>
      <c r="E172" s="101" t="s">
        <v>28</v>
      </c>
    </row>
    <row r="173" spans="1:5" hidden="1" x14ac:dyDescent="0.25">
      <c r="A173" t="str">
        <f>""</f>
        <v/>
      </c>
      <c r="B173" s="101" t="s">
        <v>764</v>
      </c>
      <c r="C173" s="101" t="s">
        <v>538</v>
      </c>
      <c r="D173" s="101" t="s">
        <v>525</v>
      </c>
      <c r="E173" s="101" t="s">
        <v>28</v>
      </c>
    </row>
    <row r="174" spans="1:5" hidden="1" x14ac:dyDescent="0.25">
      <c r="A174"/>
    </row>
    <row r="175" spans="1:5" ht="17.25" hidden="1" x14ac:dyDescent="0.25">
      <c r="A175" t="str">
        <f>"Code==PRY"</f>
        <v>Code==PRY</v>
      </c>
      <c r="B175" s="132" t="s">
        <v>963</v>
      </c>
      <c r="C175" s="132" t="s">
        <v>964</v>
      </c>
      <c r="D175" s="132" t="s">
        <v>965</v>
      </c>
      <c r="E175" s="101" t="s">
        <v>765</v>
      </c>
    </row>
    <row r="176" spans="1:5" hidden="1" x14ac:dyDescent="0.25">
      <c r="A176" t="str">
        <f>""</f>
        <v/>
      </c>
      <c r="B176" s="101" t="s">
        <v>260</v>
      </c>
      <c r="C176" s="101" t="s">
        <v>766</v>
      </c>
      <c r="D176" s="101" t="s">
        <v>767</v>
      </c>
      <c r="E176" s="101" t="s">
        <v>768</v>
      </c>
    </row>
    <row r="177" spans="1:5" hidden="1" x14ac:dyDescent="0.25">
      <c r="A177"/>
    </row>
    <row r="178" spans="1:5" ht="17.25" hidden="1" x14ac:dyDescent="0.25">
      <c r="A178" t="str">
        <f>"Code==ROM"</f>
        <v>Code==ROM</v>
      </c>
      <c r="B178" s="132" t="s">
        <v>966</v>
      </c>
      <c r="C178" s="132" t="s">
        <v>967</v>
      </c>
      <c r="D178" s="132" t="s">
        <v>968</v>
      </c>
      <c r="E178" s="132" t="s">
        <v>969</v>
      </c>
    </row>
    <row r="179" spans="1:5" hidden="1" x14ac:dyDescent="0.25">
      <c r="A179" t="str">
        <f>""</f>
        <v/>
      </c>
      <c r="B179" s="101" t="s">
        <v>769</v>
      </c>
      <c r="C179" s="101" t="s">
        <v>554</v>
      </c>
      <c r="D179" s="101" t="s">
        <v>770</v>
      </c>
      <c r="E179" s="101" t="s">
        <v>771</v>
      </c>
    </row>
    <row r="180" spans="1:5" hidden="1" x14ac:dyDescent="0.25">
      <c r="A180"/>
    </row>
    <row r="181" spans="1:5" ht="17.25" hidden="1" x14ac:dyDescent="0.25">
      <c r="A181" t="str">
        <f>"Code==RUS"</f>
        <v>Code==RUS</v>
      </c>
      <c r="B181" s="132" t="s">
        <v>970</v>
      </c>
      <c r="C181" s="132" t="s">
        <v>971</v>
      </c>
      <c r="D181" s="132" t="s">
        <v>972</v>
      </c>
      <c r="E181" s="101" t="s">
        <v>28</v>
      </c>
    </row>
    <row r="182" spans="1:5" hidden="1" x14ac:dyDescent="0.25">
      <c r="A182" t="str">
        <f>""</f>
        <v/>
      </c>
      <c r="B182" s="101" t="s">
        <v>772</v>
      </c>
      <c r="C182" s="101" t="s">
        <v>557</v>
      </c>
      <c r="D182" s="101" t="s">
        <v>773</v>
      </c>
      <c r="E182" s="101" t="s">
        <v>28</v>
      </c>
    </row>
    <row r="183" spans="1:5" hidden="1" x14ac:dyDescent="0.25">
      <c r="A183"/>
    </row>
    <row r="184" spans="1:5" ht="17.25" hidden="1" x14ac:dyDescent="0.25">
      <c r="A184" t="str">
        <f>"Code==SEN"</f>
        <v>Code==SEN</v>
      </c>
      <c r="B184" s="132" t="s">
        <v>973</v>
      </c>
      <c r="C184" s="132" t="s">
        <v>974</v>
      </c>
      <c r="D184" s="132" t="s">
        <v>975</v>
      </c>
      <c r="E184" s="101" t="s">
        <v>28</v>
      </c>
    </row>
    <row r="185" spans="1:5" hidden="1" x14ac:dyDescent="0.25">
      <c r="A185" t="str">
        <f>""</f>
        <v/>
      </c>
      <c r="B185" s="101" t="s">
        <v>643</v>
      </c>
      <c r="C185" s="101" t="s">
        <v>774</v>
      </c>
      <c r="D185" s="101" t="s">
        <v>775</v>
      </c>
      <c r="E185" s="101" t="s">
        <v>28</v>
      </c>
    </row>
    <row r="186" spans="1:5" hidden="1" x14ac:dyDescent="0.25">
      <c r="A186"/>
    </row>
    <row r="187" spans="1:5" ht="17.25" hidden="1" x14ac:dyDescent="0.25">
      <c r="A187" t="str">
        <f>"Code==SLV"</f>
        <v>Code==SLV</v>
      </c>
      <c r="B187" s="132" t="s">
        <v>976</v>
      </c>
      <c r="C187" s="101" t="s">
        <v>28</v>
      </c>
      <c r="D187" s="101" t="s">
        <v>28</v>
      </c>
      <c r="E187" s="101" t="s">
        <v>28</v>
      </c>
    </row>
    <row r="188" spans="1:5" hidden="1" x14ac:dyDescent="0.25">
      <c r="A188" t="str">
        <f>""</f>
        <v/>
      </c>
      <c r="B188" s="101" t="s">
        <v>776</v>
      </c>
      <c r="C188" s="101" t="s">
        <v>28</v>
      </c>
      <c r="D188" s="101" t="s">
        <v>28</v>
      </c>
      <c r="E188" s="101" t="s">
        <v>28</v>
      </c>
    </row>
    <row r="189" spans="1:5" hidden="1" x14ac:dyDescent="0.25">
      <c r="A189"/>
    </row>
    <row r="190" spans="1:5" ht="17.25" hidden="1" x14ac:dyDescent="0.25">
      <c r="A190" t="str">
        <f>"Code==SRB"</f>
        <v>Code==SRB</v>
      </c>
      <c r="B190" s="132" t="s">
        <v>977</v>
      </c>
      <c r="C190" s="101" t="s">
        <v>777</v>
      </c>
      <c r="D190" s="132" t="s">
        <v>978</v>
      </c>
      <c r="E190" s="101" t="s">
        <v>28</v>
      </c>
    </row>
    <row r="191" spans="1:5" hidden="1" x14ac:dyDescent="0.25">
      <c r="A191" t="str">
        <f>""</f>
        <v/>
      </c>
      <c r="B191" s="101" t="s">
        <v>778</v>
      </c>
      <c r="C191" s="101" t="s">
        <v>779</v>
      </c>
      <c r="D191" s="101" t="s">
        <v>780</v>
      </c>
      <c r="E191" s="101" t="s">
        <v>28</v>
      </c>
    </row>
    <row r="192" spans="1:5" hidden="1" x14ac:dyDescent="0.25">
      <c r="A192"/>
    </row>
    <row r="193" spans="1:5" ht="17.25" hidden="1" x14ac:dyDescent="0.25">
      <c r="A193" t="str">
        <f>"Code==SVN"</f>
        <v>Code==SVN</v>
      </c>
      <c r="B193" s="132" t="s">
        <v>979</v>
      </c>
      <c r="C193" s="132" t="s">
        <v>980</v>
      </c>
      <c r="D193" s="132" t="s">
        <v>981</v>
      </c>
      <c r="E193" s="101" t="s">
        <v>28</v>
      </c>
    </row>
    <row r="194" spans="1:5" hidden="1" x14ac:dyDescent="0.25">
      <c r="A194" t="str">
        <f>""</f>
        <v/>
      </c>
      <c r="B194" s="101" t="s">
        <v>781</v>
      </c>
      <c r="C194" s="101" t="s">
        <v>782</v>
      </c>
      <c r="D194" s="101" t="s">
        <v>783</v>
      </c>
      <c r="E194" s="101" t="s">
        <v>28</v>
      </c>
    </row>
    <row r="195" spans="1:5" hidden="1" x14ac:dyDescent="0.25">
      <c r="A195"/>
    </row>
    <row r="196" spans="1:5" ht="17.25" hidden="1" x14ac:dyDescent="0.25">
      <c r="A196" t="str">
        <f>"Code==SWE"</f>
        <v>Code==SWE</v>
      </c>
      <c r="B196" s="132" t="s">
        <v>982</v>
      </c>
      <c r="C196" s="132" t="s">
        <v>983</v>
      </c>
      <c r="D196" s="101" t="s">
        <v>784</v>
      </c>
      <c r="E196" s="101" t="s">
        <v>28</v>
      </c>
    </row>
    <row r="197" spans="1:5" hidden="1" x14ac:dyDescent="0.25">
      <c r="A197" t="str">
        <f>""</f>
        <v/>
      </c>
      <c r="B197" s="101" t="s">
        <v>785</v>
      </c>
      <c r="C197" s="101" t="s">
        <v>786</v>
      </c>
      <c r="D197" s="101" t="s">
        <v>787</v>
      </c>
      <c r="E197" s="101" t="s">
        <v>28</v>
      </c>
    </row>
    <row r="198" spans="1:5" hidden="1" x14ac:dyDescent="0.25">
      <c r="A198"/>
    </row>
    <row r="199" spans="1:5" ht="17.25" hidden="1" x14ac:dyDescent="0.25">
      <c r="A199" t="str">
        <f>"Code==SYR"</f>
        <v>Code==SYR</v>
      </c>
      <c r="B199" s="132" t="s">
        <v>984</v>
      </c>
      <c r="C199" s="132" t="s">
        <v>985</v>
      </c>
      <c r="D199" s="132" t="s">
        <v>986</v>
      </c>
      <c r="E199" s="132" t="s">
        <v>987</v>
      </c>
    </row>
    <row r="200" spans="1:5" hidden="1" x14ac:dyDescent="0.25">
      <c r="A200" t="str">
        <f>""</f>
        <v/>
      </c>
      <c r="B200" s="101" t="s">
        <v>788</v>
      </c>
      <c r="C200" s="101" t="s">
        <v>789</v>
      </c>
      <c r="D200" s="101" t="s">
        <v>790</v>
      </c>
      <c r="E200" s="101" t="s">
        <v>791</v>
      </c>
    </row>
    <row r="201" spans="1:5" hidden="1" x14ac:dyDescent="0.25">
      <c r="A201"/>
    </row>
    <row r="202" spans="1:5" ht="17.25" hidden="1" x14ac:dyDescent="0.25">
      <c r="A202" t="str">
        <f>"Code==THA"</f>
        <v>Code==THA</v>
      </c>
      <c r="B202" s="101" t="s">
        <v>28</v>
      </c>
      <c r="C202" s="132" t="s">
        <v>988</v>
      </c>
      <c r="D202" s="101" t="s">
        <v>792</v>
      </c>
      <c r="E202" s="101" t="s">
        <v>28</v>
      </c>
    </row>
    <row r="203" spans="1:5" hidden="1" x14ac:dyDescent="0.25">
      <c r="A203" t="str">
        <f>""</f>
        <v/>
      </c>
      <c r="B203" s="101" t="s">
        <v>28</v>
      </c>
      <c r="C203" s="101" t="s">
        <v>554</v>
      </c>
      <c r="D203" s="101" t="s">
        <v>793</v>
      </c>
      <c r="E203" s="101" t="s">
        <v>28</v>
      </c>
    </row>
    <row r="204" spans="1:5" hidden="1" x14ac:dyDescent="0.25">
      <c r="A204"/>
    </row>
    <row r="205" spans="1:5" hidden="1" x14ac:dyDescent="0.25">
      <c r="A205" t="str">
        <f>"Code==TUR"</f>
        <v>Code==TUR</v>
      </c>
      <c r="B205" s="101" t="s">
        <v>28</v>
      </c>
      <c r="C205" s="101" t="s">
        <v>28</v>
      </c>
      <c r="D205" s="101" t="s">
        <v>28</v>
      </c>
      <c r="E205" s="101" t="s">
        <v>28</v>
      </c>
    </row>
    <row r="206" spans="1:5" hidden="1" x14ac:dyDescent="0.25">
      <c r="A206" t="str">
        <f>""</f>
        <v/>
      </c>
      <c r="B206" s="101" t="s">
        <v>28</v>
      </c>
      <c r="C206" s="101" t="s">
        <v>28</v>
      </c>
      <c r="D206" s="101" t="s">
        <v>28</v>
      </c>
      <c r="E206" s="101" t="s">
        <v>28</v>
      </c>
    </row>
    <row r="207" spans="1:5" hidden="1" x14ac:dyDescent="0.25">
      <c r="A207"/>
    </row>
    <row r="208" spans="1:5" ht="17.25" hidden="1" x14ac:dyDescent="0.25">
      <c r="A208" t="str">
        <f>"Code==TZA"</f>
        <v>Code==TZA</v>
      </c>
      <c r="B208" s="132" t="s">
        <v>989</v>
      </c>
      <c r="C208" s="132" t="s">
        <v>990</v>
      </c>
      <c r="D208" s="132" t="s">
        <v>991</v>
      </c>
      <c r="E208" s="101" t="s">
        <v>28</v>
      </c>
    </row>
    <row r="209" spans="1:5" hidden="1" x14ac:dyDescent="0.25">
      <c r="A209" t="str">
        <f>""</f>
        <v/>
      </c>
      <c r="B209" s="101" t="s">
        <v>794</v>
      </c>
      <c r="C209" s="101" t="s">
        <v>795</v>
      </c>
      <c r="D209" s="101" t="s">
        <v>674</v>
      </c>
      <c r="E209" s="101" t="s">
        <v>28</v>
      </c>
    </row>
    <row r="210" spans="1:5" hidden="1" x14ac:dyDescent="0.25">
      <c r="A210"/>
    </row>
    <row r="211" spans="1:5" ht="17.25" hidden="1" x14ac:dyDescent="0.25">
      <c r="A211" t="str">
        <f>"Code==UGA"</f>
        <v>Code==UGA</v>
      </c>
      <c r="B211" s="132" t="s">
        <v>992</v>
      </c>
      <c r="C211" s="132" t="s">
        <v>993</v>
      </c>
      <c r="D211" s="132" t="s">
        <v>994</v>
      </c>
      <c r="E211" s="101" t="s">
        <v>28</v>
      </c>
    </row>
    <row r="212" spans="1:5" hidden="1" x14ac:dyDescent="0.25">
      <c r="A212" t="str">
        <f>""</f>
        <v/>
      </c>
      <c r="B212" s="101" t="s">
        <v>522</v>
      </c>
      <c r="C212" s="101" t="s">
        <v>539</v>
      </c>
      <c r="D212" s="101" t="s">
        <v>796</v>
      </c>
      <c r="E212" s="101" t="s">
        <v>28</v>
      </c>
    </row>
    <row r="213" spans="1:5" hidden="1" x14ac:dyDescent="0.25">
      <c r="A213"/>
    </row>
    <row r="214" spans="1:5" ht="17.25" hidden="1" x14ac:dyDescent="0.25">
      <c r="A214" t="str">
        <f>"Code==UKR"</f>
        <v>Code==UKR</v>
      </c>
      <c r="B214" s="132" t="s">
        <v>995</v>
      </c>
      <c r="C214" s="101" t="s">
        <v>797</v>
      </c>
      <c r="D214" s="101" t="s">
        <v>798</v>
      </c>
      <c r="E214" s="132" t="s">
        <v>996</v>
      </c>
    </row>
    <row r="215" spans="1:5" hidden="1" x14ac:dyDescent="0.25">
      <c r="A215" t="str">
        <f>""</f>
        <v/>
      </c>
      <c r="B215" s="101" t="s">
        <v>799</v>
      </c>
      <c r="C215" s="101" t="s">
        <v>800</v>
      </c>
      <c r="D215" s="101" t="s">
        <v>801</v>
      </c>
      <c r="E215" s="101" t="s">
        <v>802</v>
      </c>
    </row>
    <row r="216" spans="1:5" hidden="1" x14ac:dyDescent="0.25">
      <c r="A216"/>
    </row>
    <row r="217" spans="1:5" ht="17.25" hidden="1" x14ac:dyDescent="0.25">
      <c r="A217" t="str">
        <f>"Code==USA"</f>
        <v>Code==USA</v>
      </c>
      <c r="B217" s="132" t="s">
        <v>997</v>
      </c>
      <c r="C217" s="132" t="s">
        <v>998</v>
      </c>
      <c r="D217" s="132" t="s">
        <v>999</v>
      </c>
      <c r="E217" s="101" t="s">
        <v>28</v>
      </c>
    </row>
    <row r="218" spans="1:5" hidden="1" x14ac:dyDescent="0.25">
      <c r="A218" t="str">
        <f>""</f>
        <v/>
      </c>
      <c r="B218" s="101" t="s">
        <v>803</v>
      </c>
      <c r="C218" s="101" t="s">
        <v>558</v>
      </c>
      <c r="D218" s="101" t="s">
        <v>804</v>
      </c>
      <c r="E218" s="101" t="s">
        <v>28</v>
      </c>
    </row>
    <row r="219" spans="1:5" hidden="1" x14ac:dyDescent="0.25">
      <c r="A219"/>
    </row>
    <row r="220" spans="1:5" ht="17.25" hidden="1" x14ac:dyDescent="0.25">
      <c r="A220" t="str">
        <f>"Code==VNM"</f>
        <v>Code==VNM</v>
      </c>
      <c r="B220" s="132" t="s">
        <v>1000</v>
      </c>
      <c r="C220" s="101" t="s">
        <v>805</v>
      </c>
      <c r="D220" s="132" t="s">
        <v>1001</v>
      </c>
      <c r="E220" s="132" t="s">
        <v>1002</v>
      </c>
    </row>
    <row r="221" spans="1:5" hidden="1" x14ac:dyDescent="0.25">
      <c r="A221" t="str">
        <f>""</f>
        <v/>
      </c>
      <c r="B221" s="101" t="s">
        <v>806</v>
      </c>
      <c r="C221" s="101" t="s">
        <v>807</v>
      </c>
      <c r="D221" s="101" t="s">
        <v>808</v>
      </c>
      <c r="E221" s="101" t="s">
        <v>809</v>
      </c>
    </row>
    <row r="222" spans="1:5" hidden="1" x14ac:dyDescent="0.25">
      <c r="A222"/>
    </row>
    <row r="223" spans="1:5" ht="17.25" hidden="1" x14ac:dyDescent="0.25">
      <c r="A223" t="str">
        <f>"Constant"</f>
        <v>Constant</v>
      </c>
      <c r="B223" s="132" t="s">
        <v>1003</v>
      </c>
      <c r="C223" s="132" t="s">
        <v>1004</v>
      </c>
      <c r="D223" s="132" t="s">
        <v>1005</v>
      </c>
      <c r="E223" s="132" t="s">
        <v>1006</v>
      </c>
    </row>
    <row r="224" spans="1:5" hidden="1" x14ac:dyDescent="0.25">
      <c r="A224" t="str">
        <f>""</f>
        <v/>
      </c>
      <c r="B224" s="101" t="s">
        <v>810</v>
      </c>
      <c r="C224" s="101" t="s">
        <v>811</v>
      </c>
      <c r="D224" s="101" t="s">
        <v>812</v>
      </c>
      <c r="E224" s="101" t="s">
        <v>813</v>
      </c>
    </row>
    <row r="225" spans="1:5" hidden="1" x14ac:dyDescent="0.25">
      <c r="A225"/>
    </row>
    <row r="226" spans="1:5" ht="17.25" hidden="1" x14ac:dyDescent="0.25">
      <c r="A226" t="str">
        <f>"Observations"</f>
        <v>Observations</v>
      </c>
      <c r="B226" s="132" t="s">
        <v>1007</v>
      </c>
      <c r="C226" s="132" t="s">
        <v>1008</v>
      </c>
      <c r="D226" s="132" t="s">
        <v>1009</v>
      </c>
      <c r="E226" s="132" t="s">
        <v>1010</v>
      </c>
    </row>
    <row r="227" spans="1:5" hidden="1" x14ac:dyDescent="0.25">
      <c r="A227" t="str">
        <f>"Adjusted R-squared"</f>
        <v>Adjusted R-squared</v>
      </c>
      <c r="B227" s="132" t="s">
        <v>525</v>
      </c>
      <c r="C227" s="132" t="s">
        <v>559</v>
      </c>
      <c r="D227" s="132" t="s">
        <v>814</v>
      </c>
      <c r="E227" s="132" t="s">
        <v>815</v>
      </c>
    </row>
    <row r="228" spans="1:5" hidden="1" x14ac:dyDescent="0.25">
      <c r="A228"/>
      <c r="B228" s="132"/>
      <c r="C228" s="132"/>
      <c r="D228" s="132"/>
      <c r="E228" s="132"/>
    </row>
    <row r="229" spans="1:5" ht="17.25" hidden="1" x14ac:dyDescent="0.25">
      <c r="A229" t="s">
        <v>555</v>
      </c>
      <c r="B229" s="132" t="s">
        <v>1011</v>
      </c>
      <c r="C229" s="132" t="s">
        <v>1012</v>
      </c>
      <c r="D229" s="132" t="s">
        <v>1013</v>
      </c>
      <c r="E229" s="132" t="s">
        <v>1014</v>
      </c>
    </row>
    <row r="230" spans="1:5" hidden="1" x14ac:dyDescent="0.25">
      <c r="A230" t="s">
        <v>31</v>
      </c>
      <c r="B230" s="132" t="s">
        <v>816</v>
      </c>
      <c r="C230" s="132" t="s">
        <v>546</v>
      </c>
      <c r="D230" s="132" t="s">
        <v>817</v>
      </c>
      <c r="E230" s="132" t="s">
        <v>818</v>
      </c>
    </row>
    <row r="231" spans="1:5" hidden="1" x14ac:dyDescent="0.25">
      <c r="A231"/>
      <c r="B231" s="132"/>
      <c r="C231" s="132"/>
      <c r="D231" s="132"/>
      <c r="E231" s="132"/>
    </row>
    <row r="232" spans="1:5" ht="17.25" hidden="1" x14ac:dyDescent="0.25">
      <c r="A232" t="s">
        <v>556</v>
      </c>
      <c r="B232" s="132" t="s">
        <v>1015</v>
      </c>
      <c r="C232" s="132" t="s">
        <v>1016</v>
      </c>
      <c r="D232" s="132" t="s">
        <v>819</v>
      </c>
      <c r="E232" s="132" t="s">
        <v>1017</v>
      </c>
    </row>
    <row r="233" spans="1:5" hidden="1" x14ac:dyDescent="0.25">
      <c r="A233" t="s">
        <v>31</v>
      </c>
      <c r="B233" s="132" t="s">
        <v>543</v>
      </c>
      <c r="C233" s="132" t="s">
        <v>560</v>
      </c>
      <c r="D233" s="132" t="s">
        <v>820</v>
      </c>
      <c r="E233" s="132" t="s">
        <v>821</v>
      </c>
    </row>
    <row r="234" spans="1:5" hidden="1" x14ac:dyDescent="0.25">
      <c r="A234"/>
      <c r="B234" s="132"/>
      <c r="C234" s="132"/>
      <c r="D234" s="132"/>
      <c r="E234" s="132"/>
    </row>
    <row r="235" spans="1:5" ht="17.25" x14ac:dyDescent="0.25">
      <c r="A235" t="s">
        <v>46</v>
      </c>
      <c r="B235" s="132" t="s">
        <v>1018</v>
      </c>
      <c r="C235" s="132" t="s">
        <v>1019</v>
      </c>
      <c r="D235" s="132" t="s">
        <v>1020</v>
      </c>
      <c r="E235" s="132" t="s">
        <v>1021</v>
      </c>
    </row>
    <row r="236" spans="1:5" x14ac:dyDescent="0.25">
      <c r="A236" s="18" t="s">
        <v>31</v>
      </c>
      <c r="B236" s="101" t="s">
        <v>822</v>
      </c>
      <c r="C236" s="101" t="s">
        <v>823</v>
      </c>
      <c r="D236" s="101" t="s">
        <v>824</v>
      </c>
      <c r="E236" s="101" t="s">
        <v>825</v>
      </c>
    </row>
    <row r="237" spans="1:5" x14ac:dyDescent="0.25">
      <c r="B237" s="132"/>
      <c r="C237" s="132"/>
      <c r="D237" s="132"/>
      <c r="E237" s="132"/>
    </row>
    <row r="238" spans="1:5" x14ac:dyDescent="0.25">
      <c r="A238" s="21" t="s">
        <v>45</v>
      </c>
      <c r="B238" s="108">
        <v>970</v>
      </c>
      <c r="C238" s="38">
        <v>1035</v>
      </c>
      <c r="D238" s="38">
        <v>1016</v>
      </c>
      <c r="E238" s="108">
        <v>510</v>
      </c>
    </row>
    <row r="239" spans="1:5" ht="15" customHeight="1" x14ac:dyDescent="0.25">
      <c r="A239" s="24" t="s">
        <v>238</v>
      </c>
      <c r="B239" s="68">
        <v>0.91900000000000004</v>
      </c>
      <c r="C239" s="68">
        <v>0.81799999999999995</v>
      </c>
      <c r="D239" s="68">
        <v>0.93400000000000005</v>
      </c>
      <c r="E239" s="68">
        <v>0.95</v>
      </c>
    </row>
    <row r="240" spans="1:5" x14ac:dyDescent="0.25">
      <c r="A240" s="20" t="s">
        <v>562</v>
      </c>
      <c r="B240" s="104" t="s">
        <v>27</v>
      </c>
      <c r="C240" s="104" t="s">
        <v>27</v>
      </c>
      <c r="D240" s="104" t="s">
        <v>27</v>
      </c>
      <c r="E240" s="104" t="s">
        <v>27</v>
      </c>
    </row>
    <row r="242" spans="1:5" s="2" customFormat="1" ht="15" customHeight="1" x14ac:dyDescent="0.25">
      <c r="A242" s="109" t="s">
        <v>563</v>
      </c>
      <c r="B242" s="31"/>
      <c r="C242" s="31"/>
      <c r="D242" s="31"/>
      <c r="E242" s="31"/>
    </row>
    <row r="247" spans="1:5" x14ac:dyDescent="0.25">
      <c r="B247"/>
      <c r="C247"/>
      <c r="D247"/>
      <c r="E247"/>
    </row>
    <row r="248" spans="1:5" x14ac:dyDescent="0.25">
      <c r="B248"/>
      <c r="C248"/>
      <c r="D248"/>
      <c r="E248"/>
    </row>
    <row r="251" spans="1:5" x14ac:dyDescent="0.25">
      <c r="B251"/>
      <c r="C251"/>
      <c r="D251"/>
      <c r="E251"/>
    </row>
    <row r="252" spans="1:5" x14ac:dyDescent="0.25">
      <c r="B252"/>
      <c r="C252"/>
      <c r="D252"/>
      <c r="E252"/>
    </row>
  </sheetData>
  <customSheetViews>
    <customSheetView guid="{BF4B7214-A780-4E29-8376-D0EF10A37853}" showPageBreaks="1" printArea="1" hiddenRows="1" view="pageBreakPreview">
      <selection activeCell="F255" sqref="E255:F255"/>
      <pageMargins left="0.7" right="0.7" top="0.75" bottom="0.75" header="0.3" footer="0.3"/>
      <printOptions horizontalCentered="1"/>
      <pageSetup scale="73" fitToHeight="2" orientation="landscape" r:id="rId1"/>
    </customSheetView>
  </customSheetViews>
  <mergeCells count="3">
    <mergeCell ref="A1:E1"/>
    <mergeCell ref="A2:E2"/>
    <mergeCell ref="B4:E4"/>
  </mergeCells>
  <printOptions horizontalCentered="1"/>
  <pageMargins left="0.7" right="0.7" top="0.75" bottom="0.75" header="0.3" footer="0.3"/>
  <pageSetup scale="73" fitToHeight="2" orientation="landscape" r:id="rId2"/>
  <ignoredErrors>
    <ignoredError sqref="B10:E236 B8:E8 C9:E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1">
    <pageSetUpPr fitToPage="1"/>
  </sheetPr>
  <dimension ref="A1:F34"/>
  <sheetViews>
    <sheetView tabSelected="1" zoomScaleNormal="100" zoomScaleSheetLayoutView="154" workbookViewId="0">
      <selection activeCell="G22" sqref="G21:G22"/>
    </sheetView>
  </sheetViews>
  <sheetFormatPr defaultRowHeight="15" x14ac:dyDescent="0.25"/>
  <sheetData>
    <row r="1" spans="1:6" x14ac:dyDescent="0.25">
      <c r="A1" s="191" t="s">
        <v>2104</v>
      </c>
      <c r="B1" s="191"/>
      <c r="C1" s="191"/>
      <c r="D1" s="191"/>
      <c r="F1" s="93"/>
    </row>
    <row r="2" spans="1:6" ht="15" customHeight="1" x14ac:dyDescent="0.25">
      <c r="A2" s="74">
        <v>1</v>
      </c>
      <c r="B2" s="74" t="s">
        <v>2101</v>
      </c>
      <c r="C2" s="74"/>
      <c r="F2" s="93"/>
    </row>
    <row r="3" spans="1:6" ht="15" customHeight="1" x14ac:dyDescent="0.25">
      <c r="A3" s="74">
        <f>A2+1</f>
        <v>2</v>
      </c>
      <c r="B3" s="74" t="s">
        <v>2102</v>
      </c>
      <c r="C3" s="74"/>
      <c r="F3" s="93"/>
    </row>
    <row r="4" spans="1:6" ht="15" customHeight="1" x14ac:dyDescent="0.25">
      <c r="A4" s="74">
        <f>A3+1</f>
        <v>3</v>
      </c>
      <c r="B4" s="74" t="s">
        <v>2103</v>
      </c>
      <c r="C4" s="74"/>
    </row>
    <row r="5" spans="1:6" ht="15" customHeight="1" x14ac:dyDescent="0.25">
      <c r="A5" s="74"/>
      <c r="B5" s="74"/>
      <c r="C5" s="74"/>
    </row>
    <row r="6" spans="1:6" ht="15" customHeight="1" x14ac:dyDescent="0.25">
      <c r="A6" s="74"/>
      <c r="B6" s="74"/>
      <c r="C6" s="74"/>
    </row>
    <row r="7" spans="1:6" ht="15" customHeight="1" x14ac:dyDescent="0.25">
      <c r="A7" s="74"/>
      <c r="B7" s="74"/>
      <c r="C7" s="74"/>
    </row>
    <row r="8" spans="1:6" ht="15" customHeight="1" x14ac:dyDescent="0.25">
      <c r="A8" s="74"/>
      <c r="B8" s="74"/>
      <c r="C8" s="74"/>
    </row>
    <row r="9" spans="1:6" ht="15" customHeight="1" x14ac:dyDescent="0.25">
      <c r="A9" s="74"/>
      <c r="B9" s="74"/>
      <c r="C9" s="74"/>
    </row>
    <row r="10" spans="1:6" x14ac:dyDescent="0.25">
      <c r="A10" s="74"/>
      <c r="B10" s="74"/>
      <c r="C10" s="74"/>
    </row>
    <row r="15" spans="1:6" ht="15" customHeight="1" x14ac:dyDescent="0.25">
      <c r="A15" s="74"/>
      <c r="B15" s="74"/>
      <c r="C15" s="74"/>
    </row>
    <row r="16" spans="1:6" ht="15" customHeight="1" x14ac:dyDescent="0.25">
      <c r="A16" s="74"/>
      <c r="B16" s="74"/>
      <c r="C16" s="74"/>
    </row>
    <row r="17" spans="1:3" ht="15" customHeight="1" x14ac:dyDescent="0.25">
      <c r="A17" s="74"/>
      <c r="B17" s="74"/>
      <c r="C17" s="74"/>
    </row>
    <row r="18" spans="1:3" ht="15" customHeight="1" x14ac:dyDescent="0.25">
      <c r="A18" s="74"/>
      <c r="B18" s="74"/>
      <c r="C18" s="74"/>
    </row>
    <row r="19" spans="1:3" ht="15" customHeight="1" x14ac:dyDescent="0.25">
      <c r="A19" s="74"/>
      <c r="B19" s="74"/>
      <c r="C19" s="74"/>
    </row>
    <row r="20" spans="1:3" ht="15" customHeight="1" x14ac:dyDescent="0.25">
      <c r="A20" s="74"/>
      <c r="B20" s="74"/>
      <c r="C20" s="74"/>
    </row>
    <row r="21" spans="1:3" ht="15" customHeight="1" x14ac:dyDescent="0.25">
      <c r="A21" s="74"/>
      <c r="B21" s="74"/>
      <c r="C21" s="74"/>
    </row>
    <row r="22" spans="1:3" ht="15" customHeight="1" x14ac:dyDescent="0.25">
      <c r="A22" s="74"/>
      <c r="B22" s="74"/>
      <c r="C22" s="74"/>
    </row>
    <row r="23" spans="1:3" ht="15" customHeight="1" x14ac:dyDescent="0.25">
      <c r="A23" s="74"/>
      <c r="B23" s="74"/>
      <c r="C23" s="74"/>
    </row>
    <row r="26" spans="1:3" x14ac:dyDescent="0.25">
      <c r="A26" s="74"/>
      <c r="B26" s="74"/>
      <c r="C26" s="74"/>
    </row>
    <row r="27" spans="1:3" x14ac:dyDescent="0.25">
      <c r="A27" s="74"/>
      <c r="B27" s="74"/>
      <c r="C27" s="74"/>
    </row>
    <row r="28" spans="1:3" x14ac:dyDescent="0.25">
      <c r="A28" s="74"/>
      <c r="B28" s="74"/>
      <c r="C28" s="74"/>
    </row>
    <row r="29" spans="1:3" x14ac:dyDescent="0.25">
      <c r="A29" s="74"/>
      <c r="B29" s="74"/>
      <c r="C29" s="74"/>
    </row>
    <row r="30" spans="1:3" x14ac:dyDescent="0.25">
      <c r="A30" s="74"/>
      <c r="B30" s="74"/>
      <c r="C30" s="74"/>
    </row>
    <row r="31" spans="1:3" x14ac:dyDescent="0.25">
      <c r="A31" s="74"/>
      <c r="B31" s="74"/>
      <c r="C31" s="74"/>
    </row>
    <row r="32" spans="1:3" x14ac:dyDescent="0.25">
      <c r="A32" s="74"/>
      <c r="B32" s="74"/>
      <c r="C32" s="74"/>
    </row>
    <row r="33" spans="1:3" x14ac:dyDescent="0.25">
      <c r="A33" s="74"/>
      <c r="B33" s="74"/>
      <c r="C33" s="74"/>
    </row>
    <row r="34" spans="1:3" x14ac:dyDescent="0.25">
      <c r="A34" s="74"/>
      <c r="B34" s="74"/>
      <c r="C34" s="74"/>
    </row>
  </sheetData>
  <customSheetViews>
    <customSheetView guid="{BF4B7214-A780-4E29-8376-D0EF10A37853}" scale="154" showPageBreaks="1" fitToPage="1" printArea="1" view="pageBreakPreview">
      <selection activeCell="D21" sqref="D21"/>
      <pageMargins left="0.7" right="0.7" top="0.75" bottom="0.75" header="0.3" footer="0.3"/>
      <printOptions horizontalCentered="1"/>
      <pageSetup scale="88" orientation="landscape" r:id="rId1"/>
    </customSheetView>
  </customSheetViews>
  <mergeCells count="1">
    <mergeCell ref="A1:D1"/>
  </mergeCells>
  <printOptions horizontalCentered="1"/>
  <pageMargins left="0.7" right="0.7" top="0.75" bottom="0.75" header="0.3" footer="0.3"/>
  <pageSetup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M35"/>
  <sheetViews>
    <sheetView zoomScaleNormal="100" zoomScaleSheetLayoutView="70" workbookViewId="0">
      <selection activeCell="Y44" sqref="Y44"/>
    </sheetView>
  </sheetViews>
  <sheetFormatPr defaultRowHeight="15" x14ac:dyDescent="0.25"/>
  <cols>
    <col min="1" max="1" width="23" customWidth="1"/>
    <col min="3" max="4" width="13.5703125" customWidth="1"/>
    <col min="5" max="5" width="10.140625" hidden="1" customWidth="1"/>
    <col min="6" max="6" width="14.85546875" hidden="1" customWidth="1"/>
    <col min="7" max="8" width="12.28515625" customWidth="1"/>
    <col min="9" max="10" width="12.28515625" hidden="1" customWidth="1"/>
    <col min="11" max="11" width="12.7109375" style="133" hidden="1" customWidth="1"/>
    <col min="12" max="12" width="12.7109375" hidden="1" customWidth="1"/>
    <col min="13" max="13" width="24.7109375" customWidth="1"/>
  </cols>
  <sheetData>
    <row r="1" spans="1:13" x14ac:dyDescent="0.25">
      <c r="A1" s="175" t="s">
        <v>2090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35"/>
      <c r="L2" s="18"/>
      <c r="M2" s="18"/>
    </row>
    <row r="3" spans="1:13" x14ac:dyDescent="0.25">
      <c r="A3" s="21"/>
      <c r="B3" s="138"/>
      <c r="C3" s="190" t="s">
        <v>1027</v>
      </c>
      <c r="D3" s="190"/>
      <c r="E3" s="190" t="s">
        <v>36</v>
      </c>
      <c r="F3" s="190"/>
      <c r="G3" s="190" t="s">
        <v>605</v>
      </c>
      <c r="H3" s="190"/>
      <c r="I3" s="190" t="s">
        <v>606</v>
      </c>
      <c r="J3" s="190"/>
      <c r="K3" s="135"/>
      <c r="L3" s="141"/>
      <c r="M3" s="138" t="s">
        <v>1027</v>
      </c>
    </row>
    <row r="4" spans="1:13" x14ac:dyDescent="0.25">
      <c r="A4" s="134" t="s">
        <v>39</v>
      </c>
      <c r="B4" s="137" t="s">
        <v>43</v>
      </c>
      <c r="C4" s="136" t="s">
        <v>35</v>
      </c>
      <c r="D4" s="136" t="s">
        <v>34</v>
      </c>
      <c r="E4" s="136" t="s">
        <v>35</v>
      </c>
      <c r="F4" s="136" t="s">
        <v>34</v>
      </c>
      <c r="G4" s="136" t="s">
        <v>35</v>
      </c>
      <c r="H4" s="136" t="s">
        <v>34</v>
      </c>
      <c r="I4" s="136" t="s">
        <v>35</v>
      </c>
      <c r="J4" s="136" t="s">
        <v>34</v>
      </c>
      <c r="K4" s="135"/>
      <c r="L4" s="18"/>
      <c r="M4" s="136" t="s">
        <v>33</v>
      </c>
    </row>
    <row r="5" spans="1:13" x14ac:dyDescent="0.25">
      <c r="A5" s="77" t="s">
        <v>265</v>
      </c>
      <c r="B5" s="128">
        <v>2009</v>
      </c>
      <c r="C5" s="30">
        <f t="array" ref="C5">INDEX(sales_informal!$A$2:$D$28,MATCH(1,(sales_informal!$A$2:$A$28=A5)*(sales_informal!$B$2:$B$28=B5),0),3)</f>
        <v>37417.46484375</v>
      </c>
      <c r="D5" s="30">
        <f t="array" ref="D5">INDEX(sales_formal!$A$2:$D$28,MATCH(1,(sales_formal!$A$2:$A$28=A5)*(sales_formal!$B$2:$B$28=B5),0),3)</f>
        <v>70515.7265625</v>
      </c>
      <c r="E5" s="38">
        <v>61790.859375</v>
      </c>
      <c r="F5" s="38">
        <v>102899.5625</v>
      </c>
      <c r="G5" s="151">
        <f t="array" ref="G5">INDEX(employees_inf!$A$2:$D$28,MATCH(1,(employees_inf!$A$2:$A$28=A5)*(employees_inf!$B$2:$B$28=B5),0),4)</f>
        <v>9.5957446808510642</v>
      </c>
      <c r="H5" s="151">
        <f t="array" ref="H5">INDEX(employees_formal!$A$2:$D$28,MATCH(1,(employees_formal!$A$2:$A$28=A5)*(employees_formal!$B$2:$B$28=B5),0),4)</f>
        <v>32.146626499229541</v>
      </c>
      <c r="I5" s="70" t="s">
        <v>28</v>
      </c>
      <c r="J5" s="70" t="s">
        <v>28</v>
      </c>
      <c r="K5" s="135"/>
      <c r="L5" s="18"/>
      <c r="M5" s="139">
        <f>C5/D5</f>
        <v>0.53062581452076352</v>
      </c>
    </row>
    <row r="6" spans="1:13" x14ac:dyDescent="0.25">
      <c r="A6" s="75" t="s">
        <v>14</v>
      </c>
      <c r="B6" s="126">
        <v>2010</v>
      </c>
      <c r="C6" s="30">
        <f t="array" ref="C6">INDEX(sales_informal!$A$2:$D$28,MATCH(1,(sales_informal!$A$2:$A$28=A6)*(sales_informal!$B$2:$B$28=B6),0),3)</f>
        <v>9905.80078125</v>
      </c>
      <c r="D6" s="30">
        <f t="array" ref="D6">INDEX(sales_formal!$A$2:$D$28,MATCH(1,(sales_formal!$A$2:$A$28=A6)*(sales_formal!$B$2:$B$28=B6),0),3)</f>
        <v>105458.203125</v>
      </c>
      <c r="E6" s="26">
        <v>15424.154296875</v>
      </c>
      <c r="F6" s="26">
        <v>105369.5078125</v>
      </c>
      <c r="G6" s="152">
        <f t="array" ref="G6">INDEX(employees_inf!$A$2:$D$28,MATCH(1,(employees_inf!$A$2:$A$28=A6)*(employees_inf!$B$2:$B$28=B6),0),4)</f>
        <v>9.2183908045977017</v>
      </c>
      <c r="H6" s="152">
        <f t="array" ref="H6">INDEX(employees_formal!$A$2:$D$28,MATCH(1,(employees_formal!$A$2:$A$28=A6)*(employees_formal!$B$2:$B$28=B6),0),4)</f>
        <v>38.238244481221258</v>
      </c>
      <c r="I6" s="23" t="s">
        <v>28</v>
      </c>
      <c r="J6" s="23">
        <v>1</v>
      </c>
      <c r="K6" s="135"/>
      <c r="L6" s="18"/>
      <c r="M6" s="139">
        <f t="shared" ref="M6:M30" si="0">C6/D6</f>
        <v>9.3931059772643932E-2</v>
      </c>
    </row>
    <row r="7" spans="1:13" x14ac:dyDescent="0.25">
      <c r="A7" s="75" t="s">
        <v>142</v>
      </c>
      <c r="B7" s="126">
        <v>2010</v>
      </c>
      <c r="C7" s="26">
        <f t="array" ref="C7">INDEX(sales_informal!$A$2:$D$28,MATCH(1,(sales_informal!$A$2:$A$28=A7)*(sales_informal!$B$2:$B$28=B7),0),3)</f>
        <v>1937.626708984375</v>
      </c>
      <c r="D7" s="30">
        <f t="array" ref="D7">INDEX(sales_formal!$A$2:$D$28,MATCH(1,(sales_formal!$A$2:$A$28=A7)*(sales_formal!$B$2:$B$28=B7),0),3)</f>
        <v>43823.1015625</v>
      </c>
      <c r="E7" s="26">
        <v>2472.904052734375</v>
      </c>
      <c r="F7" s="26">
        <v>96826.34375</v>
      </c>
      <c r="G7" s="152">
        <f t="array" ref="G7">INDEX(employees_inf!$A$2:$D$28,MATCH(1,(employees_inf!$A$2:$A$28=A7)*(employees_inf!$B$2:$B$28=B7),0),4)</f>
        <v>1.5825242718446602</v>
      </c>
      <c r="H7" s="152">
        <f t="array" ref="H7">INDEX(employees_formal!$A$2:$D$28,MATCH(1,(employees_formal!$A$2:$A$28=A7)*(employees_formal!$B$2:$B$28=B7),0),4)</f>
        <v>237.63443997185146</v>
      </c>
      <c r="I7" s="23" t="s">
        <v>28</v>
      </c>
      <c r="J7" s="23" t="s">
        <v>28</v>
      </c>
      <c r="K7" s="144"/>
      <c r="L7" s="18"/>
      <c r="M7" s="139">
        <f t="shared" si="0"/>
        <v>4.4214732410506233E-2</v>
      </c>
    </row>
    <row r="8" spans="1:13" x14ac:dyDescent="0.25">
      <c r="A8" s="75" t="s">
        <v>4</v>
      </c>
      <c r="B8" s="126">
        <v>2003</v>
      </c>
      <c r="C8" s="26">
        <f t="array" ref="C8">INDEX(sales_informal!$A$2:$D$28,MATCH(1,(sales_informal!$A$2:$A$28=A8)*(sales_informal!$B$2:$B$28=B8),0),3)</f>
        <v>1584.25146484375</v>
      </c>
      <c r="D8" s="30">
        <f t="array" ref="D8">INDEX(sales_formal!$A$2:$D$28,MATCH(1,(sales_formal!$A$2:$A$28=A8)*(sales_formal!$B$2:$B$28=B8),0),3)</f>
        <v>8530.8662109375</v>
      </c>
      <c r="E8" s="26">
        <v>4000.831298828125</v>
      </c>
      <c r="F8" s="26">
        <v>28002.572265625</v>
      </c>
      <c r="G8" s="152">
        <f t="array" ref="G8">INDEX(employees_inf!$A$2:$D$28,MATCH(1,(employees_inf!$A$2:$A$28=A8)*(employees_inf!$B$2:$B$28=B8),0),4)</f>
        <v>5.2385786802030454</v>
      </c>
      <c r="H8" s="152">
        <f t="array" ref="H8">INDEX(employees_formal!$A$2:$D$28,MATCH(1,(employees_formal!$A$2:$A$28=A8)*(employees_formal!$B$2:$B$28=B8),0),4)</f>
        <v>297.68808290155442</v>
      </c>
      <c r="I8" s="23">
        <v>4.5685280114412308E-2</v>
      </c>
      <c r="J8" s="23">
        <v>0.71161049604415894</v>
      </c>
      <c r="K8" s="144"/>
      <c r="L8" s="18"/>
      <c r="M8" s="139">
        <f t="shared" si="0"/>
        <v>0.1857081597191815</v>
      </c>
    </row>
    <row r="9" spans="1:13" x14ac:dyDescent="0.25">
      <c r="A9" s="75" t="s">
        <v>15</v>
      </c>
      <c r="B9" s="126">
        <v>2010</v>
      </c>
      <c r="C9" s="26">
        <f t="array" ref="C9">INDEX(sales_informal!$A$2:$D$28,MATCH(1,(sales_informal!$A$2:$A$28=A9)*(sales_informal!$B$2:$B$28=B9),0),3)</f>
        <v>4230.01416015625</v>
      </c>
      <c r="D9" s="30">
        <f t="array" ref="D9">INDEX(sales_formal!$A$2:$D$28,MATCH(1,(sales_formal!$A$2:$A$28=A9)*(sales_formal!$B$2:$B$28=B9),0),3)</f>
        <v>30050.69921875</v>
      </c>
      <c r="E9" s="26">
        <v>5847.287109375</v>
      </c>
      <c r="F9" s="26">
        <v>68821.890625</v>
      </c>
      <c r="G9" s="152">
        <f t="array" ref="G9">INDEX(employees_inf!$A$2:$D$28,MATCH(1,(employees_inf!$A$2:$A$28=A9)*(employees_inf!$B$2:$B$28=B9),0),4)</f>
        <v>2.6947368421052631</v>
      </c>
      <c r="H9" s="152">
        <f t="array" ref="H9">INDEX(employees_formal!$A$2:$D$28,MATCH(1,(employees_formal!$A$2:$A$28=A9)*(employees_formal!$B$2:$B$28=B9),0),4)</f>
        <v>78.507342071785274</v>
      </c>
      <c r="I9" s="23" t="s">
        <v>28</v>
      </c>
      <c r="J9" s="23">
        <v>1</v>
      </c>
      <c r="K9" s="144"/>
      <c r="L9" s="18"/>
      <c r="M9" s="139">
        <f t="shared" si="0"/>
        <v>0.14076258689904131</v>
      </c>
    </row>
    <row r="10" spans="1:13" x14ac:dyDescent="0.25">
      <c r="A10" s="75" t="s">
        <v>5</v>
      </c>
      <c r="B10" s="126">
        <v>2003</v>
      </c>
      <c r="C10" s="26">
        <f t="array" ref="C10">INDEX(sales_informal!$A$2:$D$28,MATCH(1,(sales_informal!$A$2:$A$28=A10)*(sales_informal!$B$2:$B$28=B10),0),3)</f>
        <v>7901.8681640625</v>
      </c>
      <c r="D10" s="30">
        <f t="array" ref="D10">INDEX(sales_formal!$A$2:$D$28,MATCH(1,(sales_formal!$A$2:$A$28=A10)*(sales_formal!$B$2:$B$28=B10),0),3)</f>
        <v>27568.14453125</v>
      </c>
      <c r="E10" s="26">
        <v>13325.5087890625</v>
      </c>
      <c r="F10" s="26">
        <v>60069.96484375</v>
      </c>
      <c r="G10" s="152">
        <f t="array" ref="G10">INDEX(employees_inf!$A$2:$D$28,MATCH(1,(employees_inf!$A$2:$A$28=A10)*(employees_inf!$B$2:$B$28=B10),0),4)</f>
        <v>2.4215116279069768</v>
      </c>
      <c r="H10" s="152">
        <f t="array" ref="H10">INDEX(employees_formal!$A$2:$D$28,MATCH(1,(employees_formal!$A$2:$A$28=A10)*(employees_formal!$B$2:$B$28=B10),0),4)</f>
        <v>116.94798732274563</v>
      </c>
      <c r="I10" s="23">
        <v>0.127976194024086</v>
      </c>
      <c r="J10" s="23">
        <v>0.65146356821060181</v>
      </c>
      <c r="K10" s="135"/>
      <c r="L10" s="18"/>
      <c r="M10" s="139">
        <f t="shared" si="0"/>
        <v>0.28663039527761108</v>
      </c>
    </row>
    <row r="11" spans="1:13" x14ac:dyDescent="0.25">
      <c r="A11" s="75" t="s">
        <v>57</v>
      </c>
      <c r="B11" s="126">
        <v>2009</v>
      </c>
      <c r="C11" s="26">
        <f t="array" ref="C11">INDEX(sales_informal!$A$2:$D$28,MATCH(1,(sales_informal!$A$2:$A$28=A11)*(sales_informal!$B$2:$B$28=B11),0),3)</f>
        <v>19031.732421875</v>
      </c>
      <c r="D11" s="30">
        <f t="array" ref="D11">INDEX(sales_formal!$A$2:$D$28,MATCH(1,(sales_formal!$A$2:$A$28=A11)*(sales_formal!$B$2:$B$28=B11),0),3)</f>
        <v>121129.2578125</v>
      </c>
      <c r="E11" s="26">
        <v>38490.82421875</v>
      </c>
      <c r="F11" s="26">
        <v>164114.03125</v>
      </c>
      <c r="G11" s="152">
        <f t="array" ref="G11">INDEX(employees_inf!$A$2:$D$28,MATCH(1,(employees_inf!$A$2:$A$28=A11)*(employees_inf!$B$2:$B$28=B11),0),4)</f>
        <v>1.2252252252252251</v>
      </c>
      <c r="H11" s="152">
        <f t="array" ref="H11">INDEX(employees_formal!$A$2:$D$28,MATCH(1,(employees_formal!$A$2:$A$28=A11)*(employees_formal!$B$2:$B$28=B11),0),4)</f>
        <v>88.911764786023056</v>
      </c>
      <c r="I11" s="23">
        <v>3.6036036908626556E-2</v>
      </c>
      <c r="J11" s="23">
        <v>1</v>
      </c>
      <c r="K11" s="135"/>
      <c r="L11" s="18"/>
      <c r="M11" s="139">
        <f t="shared" si="0"/>
        <v>0.15711920278860167</v>
      </c>
    </row>
    <row r="12" spans="1:13" x14ac:dyDescent="0.25">
      <c r="A12" s="75" t="s">
        <v>25</v>
      </c>
      <c r="B12" s="126">
        <v>2003</v>
      </c>
      <c r="C12" s="26">
        <f t="array" ref="C12">INDEX(sales_informal!$A$2:$D$28,MATCH(1,(sales_informal!$A$2:$A$28=A12)*(sales_informal!$B$2:$B$28=B12),0),3)</f>
        <v>2415.090576171875</v>
      </c>
      <c r="D12" s="30">
        <f t="array" ref="D12">INDEX(sales_formal!$A$2:$D$28,MATCH(1,(sales_formal!$A$2:$A$28=A12)*(sales_formal!$B$2:$B$28=B12),0),3)</f>
        <v>8620.3740234375</v>
      </c>
      <c r="E12" s="26">
        <v>3952.763916015625</v>
      </c>
      <c r="F12" s="26">
        <v>18586.763671875</v>
      </c>
      <c r="G12" s="152">
        <f t="array" ref="G12">INDEX(employees_inf!$A$2:$D$28,MATCH(1,(employees_inf!$A$2:$A$28=A12)*(employees_inf!$B$2:$B$28=B12),0),4)</f>
        <v>5.6186046511627907</v>
      </c>
      <c r="H12" s="152">
        <f t="array" ref="H12">INDEX(employees_formal!$A$2:$D$28,MATCH(1,(employees_formal!$A$2:$A$28=A12)*(employees_formal!$B$2:$B$28=B12),0),4)</f>
        <v>100.5616150926439</v>
      </c>
      <c r="I12" s="23">
        <v>1.8604651093482971E-2</v>
      </c>
      <c r="J12" s="23">
        <v>0.34362933039665222</v>
      </c>
      <c r="K12" s="135"/>
      <c r="L12" s="18"/>
      <c r="M12" s="139">
        <f t="shared" si="0"/>
        <v>0.28016076444080118</v>
      </c>
    </row>
    <row r="13" spans="1:13" x14ac:dyDescent="0.25">
      <c r="A13" s="75" t="s">
        <v>78</v>
      </c>
      <c r="B13" s="126">
        <v>2009</v>
      </c>
      <c r="C13" s="26">
        <f t="array" ref="C13">INDEX(sales_informal!$A$2:$D$28,MATCH(1,(sales_informal!$A$2:$A$28=A13)*(sales_informal!$B$2:$B$28=B13),0),3)</f>
        <v>12776.595703125</v>
      </c>
      <c r="D13" s="30">
        <f t="array" ref="D13">INDEX(sales_formal!$A$2:$D$28,MATCH(1,(sales_formal!$A$2:$A$28=A13)*(sales_formal!$B$2:$B$28=B13),0),3)</f>
        <v>38173.40625</v>
      </c>
      <c r="E13" s="26">
        <v>16137.5576171875</v>
      </c>
      <c r="F13" s="26">
        <v>72641.203125</v>
      </c>
      <c r="G13" s="152">
        <f t="array" ref="G13">INDEX(employees_inf!$A$2:$D$28,MATCH(1,(employees_inf!$A$2:$A$28=A13)*(employees_inf!$B$2:$B$28=B13),0),4)</f>
        <v>1.6280991735537189</v>
      </c>
      <c r="H13" s="152">
        <f t="array" ref="H13">INDEX(employees_formal!$A$2:$D$28,MATCH(1,(employees_formal!$A$2:$A$28=A13)*(employees_formal!$B$2:$B$28=B13),0),4)</f>
        <v>106.09862035124965</v>
      </c>
      <c r="I13" s="23">
        <v>0.104347825050354</v>
      </c>
      <c r="J13" s="23">
        <v>1</v>
      </c>
      <c r="K13" s="135"/>
      <c r="L13" s="18"/>
      <c r="M13" s="139">
        <f t="shared" si="0"/>
        <v>0.33469886390148901</v>
      </c>
    </row>
    <row r="14" spans="1:13" x14ac:dyDescent="0.25">
      <c r="A14" s="75" t="s">
        <v>6</v>
      </c>
      <c r="B14" s="126">
        <v>2006</v>
      </c>
      <c r="C14" s="26">
        <f t="array" ref="C14">INDEX(sales_informal!$A$2:$D$28,MATCH(1,(sales_informal!$A$2:$A$28=A14)*(sales_informal!$B$2:$B$28=B14),0),3)</f>
        <v>6247.1796875</v>
      </c>
      <c r="D14" s="30">
        <f t="array" ref="D14">INDEX(sales_formal!$A$2:$D$28,MATCH(1,(sales_formal!$A$2:$A$28=A14)*(sales_formal!$B$2:$B$28=B14),0),3)</f>
        <v>9191.9462890625</v>
      </c>
      <c r="E14" s="26">
        <v>9162.6494140625</v>
      </c>
      <c r="F14" s="26">
        <v>20964.521484375</v>
      </c>
      <c r="G14" s="152">
        <f t="array" ref="G14">INDEX(employees_inf!$A$2:$D$28,MATCH(1,(employees_inf!$A$2:$A$28=A14)*(employees_inf!$B$2:$B$28=B14),0),4)</f>
        <v>2.233009708737864</v>
      </c>
      <c r="H14" s="152">
        <f t="array" ref="H14">INDEX(employees_formal!$A$2:$D$28,MATCH(1,(employees_formal!$A$2:$A$28=A14)*(employees_formal!$B$2:$B$28=B14),0),4)</f>
        <v>18.34587812936434</v>
      </c>
      <c r="I14" s="23">
        <v>8.9108914136886597E-2</v>
      </c>
      <c r="J14" s="23">
        <v>0.32608696818351746</v>
      </c>
      <c r="K14" s="144"/>
      <c r="L14" s="18"/>
      <c r="M14" s="139">
        <f t="shared" si="0"/>
        <v>0.67963622621832775</v>
      </c>
    </row>
    <row r="15" spans="1:13" x14ac:dyDescent="0.25">
      <c r="A15" s="75" t="s">
        <v>6</v>
      </c>
      <c r="B15" s="126">
        <v>2009</v>
      </c>
      <c r="C15" s="26">
        <f t="array" ref="C15">INDEX(sales_informal!$A$2:$D$28,MATCH(1,(sales_informal!$A$2:$A$28=A15)*(sales_informal!$B$2:$B$28=B15),0),3)</f>
        <v>36097.64453125</v>
      </c>
      <c r="D15" s="30">
        <f t="array" ref="D15">INDEX(sales_formal!$A$2:$D$28,MATCH(1,(sales_formal!$A$2:$A$28=A15)*(sales_formal!$B$2:$B$28=B15),0),3)</f>
        <v>51546.1953125</v>
      </c>
      <c r="E15" s="26">
        <v>40387.34375</v>
      </c>
      <c r="F15" s="26">
        <v>54489.1015625</v>
      </c>
      <c r="G15" s="152">
        <f t="array" ref="G15">INDEX(employees_inf!$A$2:$D$28,MATCH(1,(employees_inf!$A$2:$A$28=A15)*(employees_inf!$B$2:$B$28=B15),0),4)</f>
        <v>0.91463414634146345</v>
      </c>
      <c r="H15" s="152">
        <f t="array" ref="H15">INDEX(employees_formal!$A$2:$D$28,MATCH(1,(employees_formal!$A$2:$A$28=A15)*(employees_formal!$B$2:$B$28=B15),0),4)</f>
        <v>57.729927062988281</v>
      </c>
      <c r="I15" s="23">
        <v>3.8961037993431091E-2</v>
      </c>
      <c r="J15" s="23">
        <v>1</v>
      </c>
      <c r="K15" s="144"/>
      <c r="L15" s="18"/>
      <c r="M15" s="139">
        <f t="shared" si="0"/>
        <v>0.7002969726942444</v>
      </c>
    </row>
    <row r="16" spans="1:13" x14ac:dyDescent="0.25">
      <c r="A16" s="75" t="s">
        <v>17</v>
      </c>
      <c r="B16" s="126">
        <v>2010</v>
      </c>
      <c r="C16" s="26">
        <f t="array" ref="C16">INDEX(sales_informal!$A$2:$D$28,MATCH(1,(sales_informal!$A$2:$A$28=A16)*(sales_informal!$B$2:$B$28=B16),0),3)</f>
        <v>3753.49267578125</v>
      </c>
      <c r="D16" s="30">
        <f t="array" ref="D16">INDEX(sales_formal!$A$2:$D$28,MATCH(1,(sales_formal!$A$2:$A$28=A16)*(sales_formal!$B$2:$B$28=B16),0),3)</f>
        <v>344411.75</v>
      </c>
      <c r="E16" s="26">
        <v>5462.08203125</v>
      </c>
      <c r="F16" s="26">
        <v>819006.5625</v>
      </c>
      <c r="G16" s="152">
        <f t="array" ref="G16">INDEX(employees_inf!$A$2:$D$28,MATCH(1,(employees_inf!$A$2:$A$28=A16)*(employees_inf!$B$2:$B$28=B16),0),4)</f>
        <v>3.8611111111111112</v>
      </c>
      <c r="H16" s="152">
        <f t="array" ref="H16">INDEX(employees_formal!$A$2:$D$28,MATCH(1,(employees_formal!$A$2:$A$28=A16)*(employees_formal!$B$2:$B$28=B16),0),4)</f>
        <v>69.777316730546758</v>
      </c>
      <c r="I16" s="23" t="s">
        <v>28</v>
      </c>
      <c r="J16" s="23">
        <v>1</v>
      </c>
      <c r="K16" s="144"/>
      <c r="L16" s="18"/>
      <c r="M16" s="139">
        <f t="shared" si="0"/>
        <v>1.0898271257531865E-2</v>
      </c>
    </row>
    <row r="17" spans="1:13" x14ac:dyDescent="0.25">
      <c r="A17" s="75" t="s">
        <v>319</v>
      </c>
      <c r="B17" s="126">
        <v>2008</v>
      </c>
      <c r="C17" s="26">
        <f t="array" ref="C17">INDEX(sales_informal!$A$2:$D$28,MATCH(1,(sales_informal!$A$2:$A$28=A17)*(sales_informal!$B$2:$B$28=B17),0),3)</f>
        <v>2947.053466796875</v>
      </c>
      <c r="D17" s="30">
        <f t="array" ref="D17">INDEX(sales_formal!$A$2:$D$28,MATCH(1,(sales_formal!$A$2:$A$28=A17)*(sales_formal!$B$2:$B$28=B17),0),3)</f>
        <v>25514.693359375</v>
      </c>
      <c r="E17" s="26">
        <v>4897.01513671875</v>
      </c>
      <c r="F17" s="26">
        <v>65307.765625</v>
      </c>
      <c r="G17" s="152">
        <f t="array" ref="G17">INDEX(employees_inf!$A$2:$D$28,MATCH(1,(employees_inf!$A$2:$A$28=A17)*(employees_inf!$B$2:$B$28=B17),0),4)</f>
        <v>4.1229946524064172</v>
      </c>
      <c r="H17" s="152">
        <f t="array" ref="H17">INDEX(employees_formal!$A$2:$D$28,MATCH(1,(employees_formal!$A$2:$A$28=A17)*(employees_formal!$B$2:$B$28=B17),0),4)</f>
        <v>239.45357142857142</v>
      </c>
      <c r="I17" s="23">
        <v>3.3689839765429497E-3</v>
      </c>
      <c r="J17" s="23" t="s">
        <v>28</v>
      </c>
      <c r="K17" s="144"/>
      <c r="L17" s="18"/>
      <c r="M17" s="139">
        <f t="shared" si="0"/>
        <v>0.11550416951078205</v>
      </c>
    </row>
    <row r="18" spans="1:13" x14ac:dyDescent="0.25">
      <c r="A18" s="75" t="s">
        <v>7</v>
      </c>
      <c r="B18" s="126">
        <v>2003</v>
      </c>
      <c r="C18" s="26">
        <f t="array" ref="C18">INDEX(sales_informal!$A$2:$D$28,MATCH(1,(sales_informal!$A$2:$A$28=A18)*(sales_informal!$B$2:$B$28=B18),0),3)</f>
        <v>1924.60107421875</v>
      </c>
      <c r="D18" s="30">
        <f t="array" ref="D18">INDEX(sales_formal!$A$2:$D$28,MATCH(1,(sales_formal!$A$2:$A$28=A18)*(sales_formal!$B$2:$B$28=B18),0),3)</f>
        <v>13085.2470703125</v>
      </c>
      <c r="E18" s="26">
        <v>4485.94189453125</v>
      </c>
      <c r="F18" s="26">
        <v>31782.763671875</v>
      </c>
      <c r="G18" s="152">
        <f t="array" ref="G18">INDEX(employees_inf!$A$2:$D$28,MATCH(1,(employees_inf!$A$2:$A$28=A18)*(employees_inf!$B$2:$B$28=B18),0),4)</f>
        <v>3.7357512953367875</v>
      </c>
      <c r="H18" s="152">
        <f t="array" ref="H18">INDEX(employees_formal!$A$2:$D$28,MATCH(1,(employees_formal!$A$2:$A$28=A18)*(employees_formal!$B$2:$B$28=B18),0),4)</f>
        <v>113.91445635863893</v>
      </c>
      <c r="I18" s="23">
        <v>7.7519379556179047E-2</v>
      </c>
      <c r="J18" s="23">
        <v>0.74005305767059326</v>
      </c>
      <c r="K18" s="144"/>
      <c r="L18" s="18"/>
      <c r="M18" s="139">
        <f t="shared" si="0"/>
        <v>0.14708175274620833</v>
      </c>
    </row>
    <row r="19" spans="1:13" x14ac:dyDescent="0.25">
      <c r="A19" s="75" t="s">
        <v>7</v>
      </c>
      <c r="B19" s="126">
        <v>2010</v>
      </c>
      <c r="C19" s="26">
        <f t="array" ref="C19">INDEX(sales_informal!$A$2:$D$28,MATCH(1,(sales_informal!$A$2:$A$28=A19)*(sales_informal!$B$2:$B$28=B19),0),3)</f>
        <v>2675.93505859375</v>
      </c>
      <c r="D19" s="30">
        <f t="array" ref="D19">INDEX(sales_formal!$A$2:$D$28,MATCH(1,(sales_formal!$A$2:$A$28=A19)*(sales_formal!$B$2:$B$28=B19),0),3)</f>
        <v>39346.76953125</v>
      </c>
      <c r="E19" s="26">
        <v>3356.5361328125</v>
      </c>
      <c r="F19" s="26">
        <v>93875.484375</v>
      </c>
      <c r="G19" s="152">
        <f t="array" ref="G19">INDEX(employees_inf!$A$2:$D$28,MATCH(1,(employees_inf!$A$2:$A$28=A19)*(employees_inf!$B$2:$B$28=B19),0),4)</f>
        <v>1.46875</v>
      </c>
      <c r="H19" s="152">
        <f t="array" ref="H19">INDEX(employees_formal!$A$2:$D$28,MATCH(1,(employees_formal!$A$2:$A$28=A19)*(employees_formal!$B$2:$B$28=B19),0),4)</f>
        <v>154.34433985768624</v>
      </c>
      <c r="I19" s="23" t="s">
        <v>28</v>
      </c>
      <c r="J19" s="23" t="s">
        <v>28</v>
      </c>
      <c r="K19" s="144"/>
      <c r="L19" s="18"/>
      <c r="M19" s="139">
        <f t="shared" si="0"/>
        <v>6.8009015491563241E-2</v>
      </c>
    </row>
    <row r="20" spans="1:13" x14ac:dyDescent="0.25">
      <c r="A20" s="75" t="s">
        <v>8</v>
      </c>
      <c r="B20" s="126">
        <v>2002</v>
      </c>
      <c r="C20" s="26">
        <f t="array" ref="C20">INDEX(sales_informal!$A$2:$D$28,MATCH(1,(sales_informal!$A$2:$A$28=A20)*(sales_informal!$B$2:$B$28=B20),0),3)</f>
        <v>3118.3955078125</v>
      </c>
      <c r="D20" s="30">
        <f t="array" ref="D20">INDEX(sales_formal!$A$2:$D$28,MATCH(1,(sales_formal!$A$2:$A$28=A20)*(sales_formal!$B$2:$B$28=B20),0),3)</f>
        <v>17569.01171875</v>
      </c>
      <c r="E20" s="26">
        <v>6238.92626953125</v>
      </c>
      <c r="F20" s="26">
        <v>50313.04296875</v>
      </c>
      <c r="G20" s="152">
        <f t="array" ref="G20">INDEX(employees_inf!$A$2:$D$28,MATCH(1,(employees_inf!$A$2:$A$28=A20)*(employees_inf!$B$2:$B$28=B20),0),4)</f>
        <v>4.6948775055679288</v>
      </c>
      <c r="H20" s="152">
        <f t="array" ref="H20">INDEX(employees_formal!$A$2:$D$28,MATCH(1,(employees_formal!$A$2:$A$28=A20)*(employees_formal!$B$2:$B$28=B20),0),4)</f>
        <v>97.583333333333329</v>
      </c>
      <c r="I20" s="23">
        <v>0</v>
      </c>
      <c r="J20" s="23">
        <v>0.8928571343421936</v>
      </c>
      <c r="K20" s="144"/>
      <c r="L20" s="18"/>
      <c r="M20" s="139">
        <f t="shared" si="0"/>
        <v>0.17749407637337314</v>
      </c>
    </row>
    <row r="21" spans="1:13" x14ac:dyDescent="0.25">
      <c r="A21" s="75" t="s">
        <v>9</v>
      </c>
      <c r="B21" s="126">
        <v>2003</v>
      </c>
      <c r="C21" s="26">
        <f t="array" ref="C21">INDEX(sales_informal!$A$2:$D$28,MATCH(1,(sales_informal!$A$2:$A$28=A21)*(sales_informal!$B$2:$B$28=B21),0),3)</f>
        <v>2768.63330078125</v>
      </c>
      <c r="D21" s="30">
        <f t="array" ref="D21">INDEX(sales_formal!$A$2:$D$28,MATCH(1,(sales_formal!$A$2:$A$28=A21)*(sales_formal!$B$2:$B$28=B21),0),3)</f>
        <v>17834.126953125</v>
      </c>
      <c r="E21" s="26">
        <v>5147.11181640625</v>
      </c>
      <c r="F21" s="26">
        <v>42220.07421875</v>
      </c>
      <c r="G21" s="152">
        <f t="array" ref="G21">INDEX(employees_inf!$A$2:$D$28,MATCH(1,(employees_inf!$A$2:$A$28=A21)*(employees_inf!$B$2:$B$28=B21),0),4)</f>
        <v>3.7862318840579712</v>
      </c>
      <c r="H21" s="152">
        <f t="array" ref="H21">INDEX(employees_formal!$A$2:$D$28,MATCH(1,(employees_formal!$A$2:$A$28=A21)*(employees_formal!$B$2:$B$28=B21),0),4)</f>
        <v>587.16250000000002</v>
      </c>
      <c r="I21" s="23">
        <v>0</v>
      </c>
      <c r="J21" s="23">
        <v>0.63849765062332153</v>
      </c>
      <c r="K21" s="144"/>
      <c r="L21" s="18"/>
      <c r="M21" s="139">
        <f t="shared" si="0"/>
        <v>0.15524355680871241</v>
      </c>
    </row>
    <row r="22" spans="1:13" x14ac:dyDescent="0.25">
      <c r="A22" s="75" t="s">
        <v>10</v>
      </c>
      <c r="B22" s="126">
        <v>2003</v>
      </c>
      <c r="C22" s="26">
        <f t="array" ref="C22">INDEX(sales_informal!$A$2:$D$28,MATCH(1,(sales_informal!$A$2:$A$28=A22)*(sales_informal!$B$2:$B$28=B22),0),3)</f>
        <v>3687.610107421875</v>
      </c>
      <c r="D22" s="30">
        <f t="array" ref="D22">INDEX(sales_formal!$A$2:$D$28,MATCH(1,(sales_formal!$A$2:$A$28=A22)*(sales_formal!$B$2:$B$28=B22),0),3)</f>
        <v>35844.55859375</v>
      </c>
      <c r="E22" s="26">
        <v>6619.67724609375</v>
      </c>
      <c r="F22" s="26">
        <v>102614.890625</v>
      </c>
      <c r="G22" s="152">
        <f t="array" ref="G22">INDEX(employees_inf!$A$2:$D$28,MATCH(1,(employees_inf!$A$2:$A$28=A22)*(employees_inf!$B$2:$B$28=B22),0),4)</f>
        <v>3.5081081081081082</v>
      </c>
      <c r="H22" s="152">
        <f t="array" ref="H22">INDEX(employees_formal!$A$2:$D$28,MATCH(1,(employees_formal!$A$2:$A$28=A22)*(employees_formal!$B$2:$B$28=B22),0),4)</f>
        <v>148.6258064516129</v>
      </c>
      <c r="I22" s="23">
        <v>5.5248618125915527E-2</v>
      </c>
      <c r="J22" s="23">
        <v>0.70967739820480347</v>
      </c>
      <c r="K22" s="135"/>
      <c r="L22" s="18"/>
      <c r="M22" s="139">
        <f t="shared" si="0"/>
        <v>0.10287782168601907</v>
      </c>
    </row>
    <row r="23" spans="1:13" x14ac:dyDescent="0.25">
      <c r="A23" s="75" t="s">
        <v>53</v>
      </c>
      <c r="B23" s="126">
        <v>2010</v>
      </c>
      <c r="C23" s="26">
        <f t="array" ref="C23">INDEX(sales_informal!$A$2:$D$28,MATCH(1,(sales_informal!$A$2:$A$28=A23)*(sales_informal!$B$2:$B$28=B23),0),3)</f>
        <v>4095.55322265625</v>
      </c>
      <c r="D23" s="30">
        <f t="array" ref="D23">INDEX(sales_formal!$A$2:$D$28,MATCH(1,(sales_formal!$A$2:$A$28=A23)*(sales_formal!$B$2:$B$28=B23),0),3)</f>
        <v>21846.849609375</v>
      </c>
      <c r="E23" s="26">
        <v>5862.04931640625</v>
      </c>
      <c r="F23" s="26">
        <v>31438.279296875</v>
      </c>
      <c r="G23" s="152">
        <f t="array" ref="G23">INDEX(employees_inf!$A$2:$D$28,MATCH(1,(employees_inf!$A$2:$A$28=A23)*(employees_inf!$B$2:$B$28=B23),0),4)</f>
        <v>4.4597701149425291</v>
      </c>
      <c r="H23" s="152">
        <f t="array" ref="H23">INDEX(employees_formal!$A$2:$D$28,MATCH(1,(employees_formal!$A$2:$A$28=A23)*(employees_formal!$B$2:$B$28=B23),0),4)</f>
        <v>34.122395836881232</v>
      </c>
      <c r="I23" s="23" t="s">
        <v>28</v>
      </c>
      <c r="J23" s="23">
        <v>1</v>
      </c>
      <c r="K23" s="135"/>
      <c r="L23" s="18"/>
      <c r="M23" s="139">
        <f t="shared" si="0"/>
        <v>0.1874665361773146</v>
      </c>
    </row>
    <row r="24" spans="1:13" x14ac:dyDescent="0.25">
      <c r="A24" s="75" t="s">
        <v>54</v>
      </c>
      <c r="B24" s="126">
        <v>2009</v>
      </c>
      <c r="C24" s="26">
        <f t="array" ref="C24">INDEX(sales_informal!$A$2:$D$28,MATCH(1,(sales_informal!$A$2:$A$28=A24)*(sales_informal!$B$2:$B$28=B24),0),3)</f>
        <v>4769.0888671875</v>
      </c>
      <c r="D24" s="30">
        <f t="array" ref="D24">INDEX(sales_formal!$A$2:$D$28,MATCH(1,(sales_formal!$A$2:$A$28=A24)*(sales_formal!$B$2:$B$28=B24),0),3)</f>
        <v>18299.419921875</v>
      </c>
      <c r="E24" s="26" t="s">
        <v>28</v>
      </c>
      <c r="F24" s="26">
        <v>64464.4375</v>
      </c>
      <c r="G24" s="152">
        <f t="array" ref="G24">INDEX(employees_inf!$A$2:$D$28,MATCH(1,(employees_inf!$A$2:$A$28=A24)*(employees_inf!$B$2:$B$28=B24),0),4)</f>
        <v>6</v>
      </c>
      <c r="H24" s="152">
        <f t="array" ref="H24">INDEX(employees_formal!$A$2:$D$28,MATCH(1,(employees_formal!$A$2:$A$28=A24)*(employees_formal!$B$2:$B$28=B24),0),4)</f>
        <v>41.63356809347448</v>
      </c>
      <c r="I24" s="23">
        <v>0.20000000298023224</v>
      </c>
      <c r="J24" s="23" t="s">
        <v>28</v>
      </c>
      <c r="K24" s="135"/>
      <c r="L24" s="18"/>
      <c r="M24" s="139">
        <f t="shared" si="0"/>
        <v>0.26061421004315904</v>
      </c>
    </row>
    <row r="25" spans="1:13" x14ac:dyDescent="0.25">
      <c r="A25" s="75" t="s">
        <v>11</v>
      </c>
      <c r="B25" s="126">
        <v>2005</v>
      </c>
      <c r="C25" s="26">
        <f t="array" ref="C25">INDEX(sales_informal!$A$2:$D$28,MATCH(1,(sales_informal!$A$2:$A$28=A25)*(sales_informal!$B$2:$B$28=B25),0),3)</f>
        <v>12624.357421875</v>
      </c>
      <c r="D25" s="30">
        <f t="array" ref="D25">INDEX(sales_formal!$A$2:$D$28,MATCH(1,(sales_formal!$A$2:$A$28=A25)*(sales_formal!$B$2:$B$28=B25),0),3)</f>
        <v>322051.125</v>
      </c>
      <c r="E25" s="26" t="s">
        <v>28</v>
      </c>
      <c r="F25" s="26">
        <v>375277.3125</v>
      </c>
      <c r="G25" s="152">
        <f t="array" ref="G25">INDEX(employees_inf!$A$2:$D$28,MATCH(1,(employees_inf!$A$2:$A$28=A25)*(employees_inf!$B$2:$B$28=B25),0),4)</f>
        <v>4.5188679245283021</v>
      </c>
      <c r="H25" s="152">
        <f t="array" ref="H25">INDEX(employees_formal!$A$2:$D$28,MATCH(1,(employees_formal!$A$2:$A$28=A25)*(employees_formal!$B$2:$B$28=B25),0),4)</f>
        <v>42.018867600638913</v>
      </c>
      <c r="I25" s="23">
        <v>4.6875E-2</v>
      </c>
      <c r="J25" s="23">
        <v>0.5116279125213623</v>
      </c>
      <c r="K25" s="135"/>
      <c r="L25" s="18"/>
      <c r="M25" s="139">
        <f t="shared" si="0"/>
        <v>3.91998550598915E-2</v>
      </c>
    </row>
    <row r="26" spans="1:13" x14ac:dyDescent="0.25">
      <c r="A26" s="75" t="s">
        <v>74</v>
      </c>
      <c r="B26" s="126">
        <v>2003</v>
      </c>
      <c r="C26" s="26">
        <f t="array" ref="C26">INDEX(sales_informal!$A$2:$D$28,MATCH(1,(sales_informal!$A$2:$A$28=A26)*(sales_informal!$B$2:$B$28=B26),0),3)</f>
        <v>2381.677001953125</v>
      </c>
      <c r="D26" s="30">
        <f t="array" ref="D26">INDEX(sales_formal!$A$2:$D$28,MATCH(1,(sales_formal!$A$2:$A$28=A26)*(sales_formal!$B$2:$B$28=B26),0),3)</f>
        <v>33029.01953125</v>
      </c>
      <c r="E26" s="26">
        <v>3778.080322265625</v>
      </c>
      <c r="F26" s="26">
        <v>92614.578125</v>
      </c>
      <c r="G26" s="152">
        <f t="array" ref="G26">INDEX(employees_inf!$A$2:$D$28,MATCH(1,(employees_inf!$A$2:$A$28=A26)*(employees_inf!$B$2:$B$28=B26),0),4)</f>
        <v>4.103286384976526</v>
      </c>
      <c r="H26" s="152">
        <f t="array" ref="H26">INDEX(employees_formal!$A$2:$D$28,MATCH(1,(employees_formal!$A$2:$A$28=A26)*(employees_formal!$B$2:$B$28=B26),0),4)</f>
        <v>194.45283018867926</v>
      </c>
      <c r="I26" s="23">
        <v>6.1320755630731583E-2</v>
      </c>
      <c r="J26" s="23">
        <v>0.86792451143264771</v>
      </c>
      <c r="K26" s="135"/>
      <c r="L26" s="18"/>
      <c r="M26" s="139">
        <f t="shared" si="0"/>
        <v>7.2108619503516616E-2</v>
      </c>
    </row>
    <row r="27" spans="1:13" x14ac:dyDescent="0.25">
      <c r="A27" s="75" t="s">
        <v>116</v>
      </c>
      <c r="B27" s="126">
        <v>2010</v>
      </c>
      <c r="C27" s="26">
        <f t="array" ref="C27">INDEX(sales_informal!$A$2:$D$28,MATCH(1,(sales_informal!$A$2:$A$28=A27)*(sales_informal!$B$2:$B$28=B27),0),3)</f>
        <v>5135.36767578125</v>
      </c>
      <c r="D27" s="30">
        <f t="array" ref="D27">INDEX(sales_formal!$A$2:$D$28,MATCH(1,(sales_formal!$A$2:$A$28=A27)*(sales_formal!$B$2:$B$28=B27),0),3)</f>
        <v>41633.05859375</v>
      </c>
      <c r="E27" s="26">
        <v>7460.57763671875</v>
      </c>
      <c r="F27" s="26">
        <v>100155.421875</v>
      </c>
      <c r="G27" s="152">
        <f t="array" ref="G27">INDEX(employees_inf!$A$2:$D$28,MATCH(1,(employees_inf!$A$2:$A$28=A27)*(employees_inf!$B$2:$B$28=B27),0),4)</f>
        <v>2.2903225806451615</v>
      </c>
      <c r="H27" s="152">
        <f t="array" ref="H27">INDEX(employees_formal!$A$2:$D$28,MATCH(1,(employees_formal!$A$2:$A$28=A27)*(employees_formal!$B$2:$B$28=B27),0),4)</f>
        <v>205.58481163724827</v>
      </c>
      <c r="I27" s="23" t="s">
        <v>28</v>
      </c>
      <c r="J27" s="23"/>
      <c r="K27" s="135"/>
      <c r="L27" s="18"/>
      <c r="M27" s="139">
        <f t="shared" si="0"/>
        <v>0.12334831619966968</v>
      </c>
    </row>
    <row r="28" spans="1:13" x14ac:dyDescent="0.25">
      <c r="A28" s="75" t="s">
        <v>23</v>
      </c>
      <c r="B28" s="126">
        <v>2011</v>
      </c>
      <c r="C28" s="26">
        <f t="array" ref="C28">INDEX(sales_informal!$A$2:$D$28,MATCH(1,(sales_informal!$A$2:$A$28=A28)*(sales_informal!$B$2:$B$28=B28),0),3)</f>
        <v>1290.1427001953125</v>
      </c>
      <c r="D28" s="30">
        <f t="array" ref="D28">INDEX(sales_formal!$A$2:$D$28,MATCH(1,(sales_formal!$A$2:$A$28=A28)*(sales_formal!$B$2:$B$28=B28),0),3)</f>
        <v>46876</v>
      </c>
      <c r="E28" s="26">
        <v>3719.586181640625</v>
      </c>
      <c r="F28" s="26">
        <v>65860.390625</v>
      </c>
      <c r="G28" s="152">
        <f t="array" ref="G28">INDEX(employees_inf!$A$2:$D$28,MATCH(1,(employees_inf!$A$2:$A$28=A28)*(employees_inf!$B$2:$B$28=B28),0),4)</f>
        <v>2.3608247422680413</v>
      </c>
      <c r="H28" s="152">
        <f t="array" ref="H28">INDEX(employees_formal!$A$2:$D$28,MATCH(1,(employees_formal!$A$2:$A$28=A28)*(employees_formal!$B$2:$B$28=B28),0),4)</f>
        <v>73.086469268286095</v>
      </c>
      <c r="I28" s="23" t="s">
        <v>28</v>
      </c>
      <c r="J28" s="23">
        <v>1</v>
      </c>
      <c r="K28" s="135"/>
      <c r="L28" s="18"/>
      <c r="M28" s="139">
        <f t="shared" si="0"/>
        <v>2.7522457125081331E-2</v>
      </c>
    </row>
    <row r="29" spans="1:13" x14ac:dyDescent="0.25">
      <c r="A29" s="75" t="s">
        <v>69</v>
      </c>
      <c r="B29" s="126">
        <v>2003</v>
      </c>
      <c r="C29" s="26">
        <f t="array" ref="C29">INDEX(sales_informal!$A$2:$D$28,MATCH(1,(sales_informal!$A$2:$A$28=A29)*(sales_informal!$B$2:$B$28=B29),0),3)</f>
        <v>3604.744140625</v>
      </c>
      <c r="D29" s="30">
        <f t="array" ref="D29">INDEX(sales_formal!$A$2:$D$28,MATCH(1,(sales_formal!$A$2:$A$28=A29)*(sales_formal!$B$2:$B$28=B29),0),3)</f>
        <v>26043.349609375</v>
      </c>
      <c r="E29" s="26">
        <v>5317.4052734375</v>
      </c>
      <c r="F29" s="26">
        <v>70592</v>
      </c>
      <c r="G29" s="152">
        <f t="array" ref="G29">INDEX(employees_inf!$A$2:$D$28,MATCH(1,(employees_inf!$A$2:$A$28=A29)*(employees_inf!$B$2:$B$28=B29),0),4)</f>
        <v>5.3195876288659791</v>
      </c>
      <c r="H29" s="152">
        <f t="array" ref="H29">INDEX(employees_formal!$A$2:$D$28,MATCH(1,(employees_formal!$A$2:$A$28=A29)*(employees_formal!$B$2:$B$28=B29),0),4)</f>
        <v>91.300848441666332</v>
      </c>
      <c r="I29" s="23">
        <v>0.15979380905628204</v>
      </c>
      <c r="J29" s="23">
        <v>0.48469388484954834</v>
      </c>
      <c r="K29" s="135"/>
      <c r="L29" s="18"/>
      <c r="M29" s="139">
        <f t="shared" si="0"/>
        <v>0.13841323004500833</v>
      </c>
    </row>
    <row r="30" spans="1:13" x14ac:dyDescent="0.25">
      <c r="A30" s="75" t="s">
        <v>12</v>
      </c>
      <c r="B30" s="127">
        <v>2003</v>
      </c>
      <c r="C30" s="26">
        <f t="array" ref="C30">INDEX(sales_informal!$A$2:$D$28,MATCH(1,(sales_informal!$A$2:$A$28=A30)*(sales_informal!$B$2:$B$28=B30),0),3)</f>
        <v>1521.7054443359375</v>
      </c>
      <c r="D30" s="30">
        <f t="array" ref="D30">INDEX(sales_formal!$A$2:$D$28,MATCH(1,(sales_formal!$A$2:$A$28=A30)*(sales_formal!$B$2:$B$28=B30),0),3)</f>
        <v>20682.337890625</v>
      </c>
      <c r="E30" s="26">
        <v>1806.747802734375</v>
      </c>
      <c r="F30" s="26" t="s">
        <v>28</v>
      </c>
      <c r="G30" s="152">
        <f t="array" ref="G30">INDEX(employees_inf!$A$2:$D$28,MATCH(1,(employees_inf!$A$2:$A$28=A30)*(employees_inf!$B$2:$B$28=B30),0),4)</f>
        <v>3.4448051948051948</v>
      </c>
      <c r="H30" s="152">
        <f t="array" ref="H30">INDEX(employees_formal!$A$2:$D$28,MATCH(1,(employees_formal!$A$2:$A$28=A30)*(employees_formal!$B$2:$B$28=B30),0),4)</f>
        <v>82.556026330101957</v>
      </c>
      <c r="I30" s="23">
        <v>1.3029315508902073E-2</v>
      </c>
      <c r="J30" s="23">
        <v>0.64367818832397461</v>
      </c>
      <c r="K30" s="135"/>
      <c r="L30" s="18"/>
      <c r="M30" s="139">
        <f t="shared" si="0"/>
        <v>7.3575117686560193E-2</v>
      </c>
    </row>
    <row r="31" spans="1:13" x14ac:dyDescent="0.25">
      <c r="A31" s="76" t="s">
        <v>13</v>
      </c>
      <c r="B31" s="136">
        <v>2003</v>
      </c>
      <c r="C31" s="43">
        <f t="array" ref="C31">INDEX(sales_informal!$A$2:$D$28,MATCH(1,(sales_informal!$A$2:$A$28=A31)*(sales_informal!$B$2:$B$28=B31),0),3)</f>
        <v>3547.262939453125</v>
      </c>
      <c r="D31" s="30">
        <f t="array" ref="D31">INDEX(sales_formal!$A$2:$D$28,MATCH(1,(sales_formal!$A$2:$A$28=A31)*(sales_formal!$B$2:$B$28=B31),0),3)</f>
        <v>23334.47265625</v>
      </c>
      <c r="E31" s="43">
        <v>6537.71337890625</v>
      </c>
      <c r="F31" s="43">
        <v>53576.3515625</v>
      </c>
      <c r="G31" s="152">
        <f t="array" ref="G31">INDEX(employees_inf!$A$2:$D$28,MATCH(1,(employees_inf!$A$2:$A$28=A31)*(employees_inf!$B$2:$B$28=B31),0),4)</f>
        <v>4.5789473684210522</v>
      </c>
      <c r="H31" s="152">
        <f t="array" ref="H31">INDEX(employees_formal!$A$2:$D$28,MATCH(1,(employees_formal!$A$2:$A$28=A31)*(employees_formal!$B$2:$B$28=B31),0),4)</f>
        <v>71.383419689119165</v>
      </c>
      <c r="I31" s="68">
        <v>0.19230769574642181</v>
      </c>
      <c r="J31" s="68">
        <v>0.34196892380714417</v>
      </c>
      <c r="K31" s="135"/>
      <c r="L31" s="18"/>
      <c r="M31" s="139">
        <f>C31/D31</f>
        <v>0.15201813178764989</v>
      </c>
    </row>
    <row r="32" spans="1:13" x14ac:dyDescent="0.25">
      <c r="A32" s="129" t="s">
        <v>42</v>
      </c>
      <c r="B32" s="20"/>
      <c r="C32" s="37">
        <f>AVERAGE(C5:C31)</f>
        <v>7384.8477647569443</v>
      </c>
      <c r="D32" s="37">
        <f>AVERAGE(D5:D31)</f>
        <v>57852.211516203701</v>
      </c>
      <c r="E32" s="37">
        <f>AVERAGE(E5:E31)</f>
        <v>11267.285371093751</v>
      </c>
      <c r="F32" s="37">
        <f t="shared" ref="F32:M32" si="1">AVERAGE(F5:F31)</f>
        <v>109687.87762920673</v>
      </c>
      <c r="G32" s="153">
        <f t="shared" si="1"/>
        <v>3.8750109743915147</v>
      </c>
      <c r="H32" s="153">
        <f t="shared" si="1"/>
        <v>126.65966999693119</v>
      </c>
      <c r="I32" s="140">
        <f t="shared" si="1"/>
        <v>7.0565749994582594E-2</v>
      </c>
      <c r="J32" s="140">
        <f t="shared" si="1"/>
        <v>0.75541757260050091</v>
      </c>
      <c r="K32" s="135"/>
      <c r="L32" s="18"/>
      <c r="M32" s="140">
        <f t="shared" si="1"/>
        <v>0.19574666356093534</v>
      </c>
    </row>
    <row r="35" spans="1:1" x14ac:dyDescent="0.25">
      <c r="A35" s="75"/>
    </row>
  </sheetData>
  <customSheetViews>
    <customSheetView guid="{BF4B7214-A780-4E29-8376-D0EF10A37853}" fitToPage="1" hiddenColumns="1">
      <selection activeCell="A35" sqref="A35"/>
      <pageMargins left="0.7" right="0.7" top="0.75" bottom="0.75" header="0.3" footer="0.3"/>
      <printOptions horizontalCentered="1"/>
      <pageSetup orientation="landscape" r:id="rId1"/>
    </customSheetView>
  </customSheetViews>
  <mergeCells count="5">
    <mergeCell ref="A1:M1"/>
    <mergeCell ref="C3:D3"/>
    <mergeCell ref="E3:F3"/>
    <mergeCell ref="G3:H3"/>
    <mergeCell ref="I3:J3"/>
  </mergeCells>
  <printOptions horizontalCentered="1"/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8</vt:i4>
      </vt:variant>
    </vt:vector>
  </HeadingPairs>
  <TitlesOfParts>
    <vt:vector size="26" baseType="lpstr">
      <vt:lpstr>employees_inf</vt:lpstr>
      <vt:lpstr>employees_formal</vt:lpstr>
      <vt:lpstr>sales_informal</vt:lpstr>
      <vt:lpstr>sales_formal</vt:lpstr>
      <vt:lpstr>Table 1</vt:lpstr>
      <vt:lpstr>Table 2</vt:lpstr>
      <vt:lpstr>Table 3</vt:lpstr>
      <vt:lpstr>ONLINE APPENDIX -- Tables</vt:lpstr>
      <vt:lpstr>Value added and employment</vt:lpstr>
      <vt:lpstr>Costs and Benefits Registering</vt:lpstr>
      <vt:lpstr>Regression for Figure 5</vt:lpstr>
      <vt:lpstr>ONLINE APPENDIX -- Data</vt:lpstr>
      <vt:lpstr>Data Table 1</vt:lpstr>
      <vt:lpstr>Data Table 3</vt:lpstr>
      <vt:lpstr>Data Figures 1 -3</vt:lpstr>
      <vt:lpstr>Data Figure 4</vt:lpstr>
      <vt:lpstr>Data Figure 5</vt:lpstr>
      <vt:lpstr>Data Figure 6</vt:lpstr>
      <vt:lpstr>'Costs and Benefits Registering'!Print_Area</vt:lpstr>
      <vt:lpstr>'Data Table 1'!Print_Area</vt:lpstr>
      <vt:lpstr>'Table 1'!Print_Area</vt:lpstr>
      <vt:lpstr>'Table 2'!Print_Area</vt:lpstr>
      <vt:lpstr>'Table 3'!Print_Area</vt:lpstr>
      <vt:lpstr>'Value added and employment'!Print_Area</vt:lpstr>
      <vt:lpstr>'Data Table 1'!Print_Titles</vt:lpstr>
      <vt:lpstr>'Table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Porta, Rafael</dc:creator>
  <cp:lastModifiedBy>FASDSM</cp:lastModifiedBy>
  <cp:lastPrinted>2014-05-23T18:24:58Z</cp:lastPrinted>
  <dcterms:created xsi:type="dcterms:W3CDTF">2008-05-26T15:37:10Z</dcterms:created>
  <dcterms:modified xsi:type="dcterms:W3CDTF">2014-06-03T18:14:18Z</dcterms:modified>
</cp:coreProperties>
</file>